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18195" windowHeight="8265" activeTab="1"/>
  </bookViews>
  <sheets>
    <sheet name="Handleiding" sheetId="9" r:id="rId1"/>
    <sheet name="Algemeen" sheetId="4" r:id="rId2"/>
    <sheet name="Kosten" sheetId="1" r:id="rId3"/>
    <sheet name="Verdeling per unit" sheetId="2" r:id="rId4"/>
    <sheet name="Lijsten" sheetId="3" r:id="rId5"/>
  </sheets>
  <definedNames>
    <definedName name="_xlnm.Print_Area" localSheetId="1">Algemeen!$A$1:$L$78</definedName>
    <definedName name="afwerkingsgraad">Lijsten!$H$6:$H$9</definedName>
    <definedName name="compactheid">Lijsten!$D$6:$D$10</definedName>
    <definedName name="convenantlevenslangwonen">Lijsten!$J$6:$J$8</definedName>
    <definedName name="duurzaamheideis">Lijsten!$F$6:$F$10</definedName>
    <definedName name="janee">Lijsten!$N$6:$N$8</definedName>
    <definedName name="nieuwbouwverbouwing">Lijsten!$L$6:$L$9</definedName>
    <definedName name="overdrachtsformule">Lijsten!$P$6:$P$8</definedName>
    <definedName name="vormelijkecomplexiteit">Lijsten!$B$6:$B$10</definedName>
  </definedNames>
  <calcPr calcId="125725"/>
</workbook>
</file>

<file path=xl/calcChain.xml><?xml version="1.0" encoding="utf-8"?>
<calcChain xmlns="http://schemas.openxmlformats.org/spreadsheetml/2006/main">
  <c r="D63" i="1"/>
  <c r="H16" i="4"/>
  <c r="G31" i="1"/>
  <c r="G34" l="1"/>
  <c r="G49"/>
  <c r="G32"/>
  <c r="D27" i="2"/>
  <c r="N3"/>
  <c r="L3"/>
  <c r="G35" i="1"/>
  <c r="H11" i="4"/>
  <c r="K15" i="2"/>
  <c r="K16"/>
  <c r="K17"/>
  <c r="K18"/>
  <c r="K19"/>
  <c r="K20"/>
  <c r="K21"/>
  <c r="K22"/>
  <c r="K23"/>
  <c r="D15"/>
  <c r="D16"/>
  <c r="D17"/>
  <c r="D18"/>
  <c r="D19"/>
  <c r="D20"/>
  <c r="D21"/>
  <c r="D22"/>
  <c r="D23"/>
  <c r="C15"/>
  <c r="C16"/>
  <c r="C17"/>
  <c r="C18"/>
  <c r="C19"/>
  <c r="C20"/>
  <c r="C21"/>
  <c r="C22"/>
  <c r="C23"/>
  <c r="B18"/>
  <c r="B22"/>
  <c r="B23"/>
  <c r="H67" i="4"/>
  <c r="F67"/>
  <c r="D67"/>
  <c r="B50"/>
  <c r="B21" i="2" s="1"/>
  <c r="B51" i="4"/>
  <c r="B52"/>
  <c r="B44"/>
  <c r="B15" i="2" s="1"/>
  <c r="B45" i="4"/>
  <c r="B16" i="2" s="1"/>
  <c r="B46" i="4"/>
  <c r="B17" i="2" s="1"/>
  <c r="B47" i="4"/>
  <c r="B48"/>
  <c r="B19" i="2" s="1"/>
  <c r="B49" i="4"/>
  <c r="B20" i="2" s="1"/>
  <c r="G24" i="1" l="1"/>
  <c r="G36" s="1"/>
  <c r="E47" i="9" l="1"/>
  <c r="B34" i="4" l="1"/>
  <c r="B5" i="2" s="1"/>
  <c r="B35" i="4"/>
  <c r="B6" i="2" s="1"/>
  <c r="B36" i="4"/>
  <c r="B7" i="2" s="1"/>
  <c r="B37" i="4"/>
  <c r="B8" i="2" s="1"/>
  <c r="B38" i="4"/>
  <c r="B9" i="2" s="1"/>
  <c r="B39" i="4"/>
  <c r="B10" i="2" s="1"/>
  <c r="B40" i="4"/>
  <c r="B11" i="2" s="1"/>
  <c r="B41" i="4"/>
  <c r="B12" i="2" s="1"/>
  <c r="B42" i="4"/>
  <c r="B13" i="2" s="1"/>
  <c r="B43" i="4"/>
  <c r="B14" i="2" s="1"/>
  <c r="B33" i="4"/>
  <c r="B4" i="2" s="1"/>
  <c r="G77" i="1" l="1"/>
  <c r="G76"/>
  <c r="G25"/>
  <c r="G47"/>
  <c r="F87" l="1"/>
  <c r="G87" s="1"/>
  <c r="G37"/>
  <c r="G38" s="1"/>
  <c r="E38" i="9"/>
  <c r="E14"/>
  <c r="D37" i="4"/>
  <c r="C5" i="2"/>
  <c r="C6"/>
  <c r="C7"/>
  <c r="C8"/>
  <c r="C9"/>
  <c r="C10"/>
  <c r="C11"/>
  <c r="C12"/>
  <c r="C13"/>
  <c r="C14"/>
  <c r="C4"/>
  <c r="D64" i="1"/>
  <c r="D62"/>
  <c r="D61"/>
  <c r="C6"/>
  <c r="C7"/>
  <c r="F8"/>
  <c r="C5"/>
  <c r="D9" l="1"/>
  <c r="F9" s="1"/>
  <c r="D10"/>
  <c r="F10" s="1"/>
  <c r="F11" l="1"/>
  <c r="F12" s="1"/>
  <c r="F13" s="1"/>
  <c r="J25" i="2"/>
  <c r="L77" i="4" l="1"/>
  <c r="J76"/>
  <c r="L76" s="1"/>
  <c r="J75"/>
  <c r="L75" s="1"/>
  <c r="J74"/>
  <c r="L74" s="1"/>
  <c r="J73"/>
  <c r="L73" s="1"/>
  <c r="J72"/>
  <c r="J71"/>
  <c r="L71" s="1"/>
  <c r="K5" i="2"/>
  <c r="K6"/>
  <c r="K7"/>
  <c r="K8"/>
  <c r="K9"/>
  <c r="K10"/>
  <c r="K11"/>
  <c r="K12"/>
  <c r="K13"/>
  <c r="K14"/>
  <c r="K4"/>
  <c r="D4"/>
  <c r="G50" i="1"/>
  <c r="F83" s="1"/>
  <c r="D60"/>
  <c r="D43" i="4"/>
  <c r="D14" i="2" s="1"/>
  <c r="D41" i="4"/>
  <c r="D12" i="2" s="1"/>
  <c r="D39" i="4"/>
  <c r="D10" i="2" s="1"/>
  <c r="D8"/>
  <c r="D36" i="4"/>
  <c r="D7" i="2" s="1"/>
  <c r="D38" i="4"/>
  <c r="D9" i="2" s="1"/>
  <c r="D40" i="4"/>
  <c r="D11" i="2" s="1"/>
  <c r="D42" i="4"/>
  <c r="D13" i="2" s="1"/>
  <c r="D35" i="4"/>
  <c r="D6" i="2" s="1"/>
  <c r="D34" i="4"/>
  <c r="D5" i="2" s="1"/>
  <c r="D65" i="1"/>
  <c r="J78" i="4" l="1"/>
  <c r="L72"/>
  <c r="L78" s="1"/>
  <c r="G14" i="1" s="1"/>
  <c r="F63" s="1"/>
  <c r="G63" s="1"/>
  <c r="D25" i="2"/>
  <c r="E21" i="1"/>
  <c r="E20"/>
  <c r="F61" l="1"/>
  <c r="G61" s="1"/>
  <c r="F62"/>
  <c r="G62" s="1"/>
  <c r="F60"/>
  <c r="G60" s="1"/>
  <c r="F58"/>
  <c r="F64"/>
  <c r="F56"/>
  <c r="F57"/>
  <c r="F59"/>
  <c r="F65"/>
  <c r="G65" s="1"/>
  <c r="F54" i="4"/>
  <c r="D57" i="1" s="1"/>
  <c r="H54" i="4"/>
  <c r="D58" i="1" s="1"/>
  <c r="J54" i="4"/>
  <c r="D54"/>
  <c r="G20" i="1"/>
  <c r="L47" i="4" l="1"/>
  <c r="F18" i="2" s="1"/>
  <c r="H18" s="1"/>
  <c r="L51" i="4"/>
  <c r="F22" i="2" s="1"/>
  <c r="H22" s="1"/>
  <c r="L44" i="4"/>
  <c r="F15" i="2" s="1"/>
  <c r="H15" s="1"/>
  <c r="L52" i="4"/>
  <c r="F23" i="2" s="1"/>
  <c r="H23" s="1"/>
  <c r="L46" i="4"/>
  <c r="F17" i="2" s="1"/>
  <c r="H17" s="1"/>
  <c r="L50" i="4"/>
  <c r="F21" i="2" s="1"/>
  <c r="H21" s="1"/>
  <c r="L49" i="4"/>
  <c r="F20" i="2" s="1"/>
  <c r="H20" s="1"/>
  <c r="L48" i="4"/>
  <c r="F19" i="2" s="1"/>
  <c r="H19" s="1"/>
  <c r="L45" i="4"/>
  <c r="F16" i="2" s="1"/>
  <c r="H16" s="1"/>
  <c r="H13" i="4"/>
  <c r="K10" s="1"/>
  <c r="L33"/>
  <c r="F4" i="2" s="1"/>
  <c r="H4" s="1"/>
  <c r="G57" i="1"/>
  <c r="G58"/>
  <c r="L37" i="4"/>
  <c r="F8" i="2" s="1"/>
  <c r="H8" s="1"/>
  <c r="L34" i="4"/>
  <c r="F5" i="2" s="1"/>
  <c r="H5" s="1"/>
  <c r="L39" i="4"/>
  <c r="F10" i="2" s="1"/>
  <c r="H10" s="1"/>
  <c r="L43" i="4"/>
  <c r="F14" i="2" s="1"/>
  <c r="H14" s="1"/>
  <c r="L35" i="4"/>
  <c r="F6" i="2" s="1"/>
  <c r="H6" s="1"/>
  <c r="L38" i="4"/>
  <c r="F9" i="2" s="1"/>
  <c r="H9" s="1"/>
  <c r="L40" i="4"/>
  <c r="F11" i="2" s="1"/>
  <c r="H11" s="1"/>
  <c r="L42" i="4"/>
  <c r="F13" i="2" s="1"/>
  <c r="H13" s="1"/>
  <c r="G64" i="1"/>
  <c r="F85" s="1"/>
  <c r="G85" s="1"/>
  <c r="L36" i="4"/>
  <c r="F7" i="2" s="1"/>
  <c r="H7" s="1"/>
  <c r="L41" i="4"/>
  <c r="F12" i="2" s="1"/>
  <c r="H12" s="1"/>
  <c r="G26" i="1"/>
  <c r="D56"/>
  <c r="G56" s="1"/>
  <c r="D59"/>
  <c r="G59" s="1"/>
  <c r="G83"/>
  <c r="N11" i="2" l="1"/>
  <c r="N17"/>
  <c r="N21"/>
  <c r="N5"/>
  <c r="N4"/>
  <c r="N10"/>
  <c r="N19"/>
  <c r="H25"/>
  <c r="N14" s="1"/>
  <c r="G66" i="1"/>
  <c r="F25" i="2"/>
  <c r="L54" i="4"/>
  <c r="N15" i="2" l="1"/>
  <c r="N9"/>
  <c r="N8"/>
  <c r="N16"/>
  <c r="N12"/>
  <c r="N22"/>
  <c r="N18"/>
  <c r="N13"/>
  <c r="N23"/>
  <c r="N20"/>
  <c r="N7"/>
  <c r="N6"/>
  <c r="N25" s="1"/>
  <c r="F84" i="1"/>
  <c r="G84" s="1"/>
  <c r="F73"/>
  <c r="G73" s="1"/>
  <c r="F77"/>
  <c r="F74"/>
  <c r="G74" s="1"/>
  <c r="F71"/>
  <c r="G71" s="1"/>
  <c r="F75"/>
  <c r="G75" s="1"/>
  <c r="F72"/>
  <c r="G72" s="1"/>
  <c r="F76"/>
  <c r="G78" l="1"/>
  <c r="F86" l="1"/>
  <c r="G86" s="1"/>
  <c r="G88" l="1"/>
  <c r="G92" s="1"/>
  <c r="I5" i="2" l="1"/>
  <c r="L5" s="1"/>
  <c r="I15"/>
  <c r="L15" s="1"/>
  <c r="I22"/>
  <c r="L22" s="1"/>
  <c r="I18"/>
  <c r="L18" s="1"/>
  <c r="I21"/>
  <c r="L21" s="1"/>
  <c r="I17"/>
  <c r="L17" s="1"/>
  <c r="I20"/>
  <c r="L20" s="1"/>
  <c r="I16"/>
  <c r="L16" s="1"/>
  <c r="I19"/>
  <c r="L19" s="1"/>
  <c r="I23"/>
  <c r="L23" s="1"/>
  <c r="I10"/>
  <c r="L10" s="1"/>
  <c r="I12"/>
  <c r="L12" s="1"/>
  <c r="I7"/>
  <c r="L7" s="1"/>
  <c r="I13"/>
  <c r="L13" s="1"/>
  <c r="I11"/>
  <c r="L11" s="1"/>
  <c r="I4"/>
  <c r="L4" s="1"/>
  <c r="I14"/>
  <c r="L14" s="1"/>
  <c r="I6"/>
  <c r="L6" s="1"/>
  <c r="I9"/>
  <c r="L9" s="1"/>
  <c r="I8"/>
  <c r="L8" s="1"/>
  <c r="L25" l="1"/>
  <c r="I25"/>
</calcChain>
</file>

<file path=xl/sharedStrings.xml><?xml version="1.0" encoding="utf-8"?>
<sst xmlns="http://schemas.openxmlformats.org/spreadsheetml/2006/main" count="528" uniqueCount="284">
  <si>
    <t>Groepsnaam</t>
  </si>
  <si>
    <t>Aantal units</t>
  </si>
  <si>
    <t>Opmaak haalbaarheid</t>
  </si>
  <si>
    <t>Aannames</t>
  </si>
  <si>
    <t>m²</t>
  </si>
  <si>
    <t>Aankoopsom</t>
  </si>
  <si>
    <t>Registratierechten</t>
  </si>
  <si>
    <t>Aktekosten aankoop</t>
  </si>
  <si>
    <t>Kosten latere basisakte</t>
  </si>
  <si>
    <t>Aktekosten krediet</t>
  </si>
  <si>
    <t>kosten doorverkoop of herverdeling niet meegerekend</t>
  </si>
  <si>
    <t>Ereloon notaris</t>
  </si>
  <si>
    <t>Kosten opmaak statuten, maatschap,…</t>
  </si>
  <si>
    <t>Totaal aankoop</t>
  </si>
  <si>
    <t>Opmetingskosten</t>
  </si>
  <si>
    <t>Tijdelijk onderhoud</t>
  </si>
  <si>
    <t>Asbestinventaris</t>
  </si>
  <si>
    <t>Coach cohousing</t>
  </si>
  <si>
    <t>Totaal voorbereidende studies</t>
  </si>
  <si>
    <t>Onroerendende voorheffing</t>
  </si>
  <si>
    <t>Sloopkosten</t>
  </si>
  <si>
    <t>BVO Private woning</t>
  </si>
  <si>
    <t>Inpandige terrassen</t>
  </si>
  <si>
    <t>Uitpandige terrassen</t>
  </si>
  <si>
    <t>Unit 4</t>
  </si>
  <si>
    <t>Unit 5</t>
  </si>
  <si>
    <t>Unit 6</t>
  </si>
  <si>
    <t>Unit 7</t>
  </si>
  <si>
    <t>Unit 8</t>
  </si>
  <si>
    <t>Unit 9</t>
  </si>
  <si>
    <t>Unit 10</t>
  </si>
  <si>
    <t>Unit 11</t>
  </si>
  <si>
    <t>ABR-polis</t>
  </si>
  <si>
    <t>degressief</t>
  </si>
  <si>
    <t>Nutsaansluitingen</t>
  </si>
  <si>
    <t>facultatief</t>
  </si>
  <si>
    <t>units</t>
  </si>
  <si>
    <t>afhankelijk van notaris</t>
  </si>
  <si>
    <t>Berekening duizendsten</t>
  </si>
  <si>
    <t>vast</t>
  </si>
  <si>
    <t>AANKOOP</t>
  </si>
  <si>
    <t>VOORBEREIDINGSKOSTEN</t>
  </si>
  <si>
    <t>REALISATIEKOSTEN</t>
  </si>
  <si>
    <t>SOFTKOSTEN</t>
  </si>
  <si>
    <t>Basis</t>
  </si>
  <si>
    <t>raming - onder voorbehoud</t>
  </si>
  <si>
    <t>Opmerking</t>
  </si>
  <si>
    <t>per kredietakte, afhankelijk van bankinstelling en opbouw</t>
  </si>
  <si>
    <t>Aanleg verharde buitenruimte</t>
  </si>
  <si>
    <t>Bouw gemeenschappelijke ruimten</t>
  </si>
  <si>
    <t xml:space="preserve">Bouw woonunits </t>
  </si>
  <si>
    <t>OPPERVLAKTES</t>
  </si>
  <si>
    <t>AANNAMES</t>
  </si>
  <si>
    <t>Standaard</t>
  </si>
  <si>
    <t>Vormelijke complexiteit</t>
  </si>
  <si>
    <t>Compactheid</t>
  </si>
  <si>
    <t>Duurzaamheid eis</t>
  </si>
  <si>
    <t>Laag energetisch</t>
  </si>
  <si>
    <t>Convenant levenslang wonen</t>
  </si>
  <si>
    <t>Niet van toepassing</t>
  </si>
  <si>
    <t>Nieuwbouw - Verbouwing</t>
  </si>
  <si>
    <t>Nieuwbouw</t>
  </si>
  <si>
    <t>……………</t>
  </si>
  <si>
    <t>Afwerkingsgraad</t>
  </si>
  <si>
    <t>Aard van de kost</t>
  </si>
  <si>
    <t>Opp (m²)</t>
  </si>
  <si>
    <t>gewogen EHP (€/m²)</t>
  </si>
  <si>
    <t>EHP (€/m²)</t>
  </si>
  <si>
    <t>Ontwerpteam (architect)</t>
  </si>
  <si>
    <t>Ingenieur technieken</t>
  </si>
  <si>
    <t xml:space="preserve">Deel van </t>
  </si>
  <si>
    <t>Ingenieur stabiliteit</t>
  </si>
  <si>
    <t>EPB verslaggeving</t>
  </si>
  <si>
    <t>Veligheidscoördinator</t>
  </si>
  <si>
    <t>Project manager</t>
  </si>
  <si>
    <t>Totaal softkosten</t>
  </si>
  <si>
    <t>FINANCIËLE KOSTEN</t>
  </si>
  <si>
    <t>BTW op kosten voorbereidingskosten</t>
  </si>
  <si>
    <t>BTW op softkosten</t>
  </si>
  <si>
    <t>Totaal financiële kosten</t>
  </si>
  <si>
    <t>Verzwarende factoren bouwkost</t>
  </si>
  <si>
    <t>ABEX in functie van planning</t>
  </si>
  <si>
    <t>Weging</t>
  </si>
  <si>
    <t>datum</t>
  </si>
  <si>
    <t>basis</t>
  </si>
  <si>
    <t>ABEX datum</t>
  </si>
  <si>
    <t>basis bepaling eenheidsprijzen</t>
  </si>
  <si>
    <t>Datum revisie</t>
  </si>
  <si>
    <t>start werf</t>
  </si>
  <si>
    <t>einde werf</t>
  </si>
  <si>
    <t>actualiseren eh.prijzen op heden</t>
  </si>
  <si>
    <t>huidige ABEX</t>
  </si>
  <si>
    <t>∆ ABEX-index</t>
  </si>
  <si>
    <t>wachttijd aanvang werf in jaren</t>
  </si>
  <si>
    <t>duurtijd werf in jaren</t>
  </si>
  <si>
    <t>te verrekenen duurtijd in jaren</t>
  </si>
  <si>
    <t>correctiefactor voor prijsherzieningen (indexprognose)</t>
  </si>
  <si>
    <t>per jaar</t>
  </si>
  <si>
    <t>weerhouden correctiefactor voor budget</t>
  </si>
  <si>
    <t>Subsidie sloop</t>
  </si>
  <si>
    <t>Totaal realisatiekosten</t>
  </si>
  <si>
    <t>Oppervlakte totale site</t>
  </si>
  <si>
    <t>Oppervlakte verharde buitenruimte</t>
  </si>
  <si>
    <t>Woonunits</t>
  </si>
  <si>
    <t>Gemeenschappelijke functies</t>
  </si>
  <si>
    <t>Zone 1</t>
  </si>
  <si>
    <t>Zone 2</t>
  </si>
  <si>
    <t>Grondinname woonunits</t>
  </si>
  <si>
    <t>excl terrassen</t>
  </si>
  <si>
    <t>excl. terrassen gelijkvloers</t>
  </si>
  <si>
    <t>BTW op realisatiekosten gebouwen</t>
  </si>
  <si>
    <t>BTW op realisatiekosten buitenaanleg</t>
  </si>
  <si>
    <t>TOTAAL KOSTEN (incl. aankoop, kosten, BTW en mogelijke subsidie)</t>
  </si>
  <si>
    <t>Aandeel kosten</t>
  </si>
  <si>
    <t>BTW op afwerkingsbudget unit</t>
  </si>
  <si>
    <t>KOSTEN PER WOONUNIT</t>
  </si>
  <si>
    <t>xxx</t>
  </si>
  <si>
    <t>Uitgaande van eengezinswoningen! Meergezinswoningen betekenen meerkost want strengere brandweer- en toegankelijkheidseisen</t>
  </si>
  <si>
    <t>lijst 2</t>
  </si>
  <si>
    <t>lijst 3</t>
  </si>
  <si>
    <t>lijst 4</t>
  </si>
  <si>
    <t>lijst 5</t>
  </si>
  <si>
    <t>lijst 10</t>
  </si>
  <si>
    <t>lijst 11</t>
  </si>
  <si>
    <t>keuze maken</t>
  </si>
  <si>
    <t>Passief &lt;E35/K20</t>
  </si>
  <si>
    <t>Veel schuine hoeken</t>
  </si>
  <si>
    <t>Zeer compact</t>
  </si>
  <si>
    <t>Breeam 'excellent'</t>
  </si>
  <si>
    <t>Van toepassing</t>
  </si>
  <si>
    <t>Complexe plan layout</t>
  </si>
  <si>
    <t>Weinig compact</t>
  </si>
  <si>
    <t>Grondige renovatie</t>
  </si>
  <si>
    <t>Organische vormgeving</t>
  </si>
  <si>
    <t>Vrijstaande units</t>
  </si>
  <si>
    <t>E60 / K40</t>
  </si>
  <si>
    <t>Complexe verbouwing</t>
  </si>
  <si>
    <t>Basic</t>
  </si>
  <si>
    <t>Marktconform</t>
  </si>
  <si>
    <t>Aanpassing</t>
  </si>
  <si>
    <t>Prijs-berekening</t>
  </si>
  <si>
    <t>Unit 1</t>
  </si>
  <si>
    <t>Hoogwaardig</t>
  </si>
  <si>
    <t>Aanleg gemeenschappelijke tuin</t>
  </si>
  <si>
    <t>Bouw terrassen gelijkvloers en private tuin</t>
  </si>
  <si>
    <t>parking en oprit</t>
  </si>
  <si>
    <t>facultatief, maar sterk aanbevolen</t>
  </si>
  <si>
    <t>Extra afwerkingsbudget (optioneel)</t>
  </si>
  <si>
    <t>Bouwkost sterk afhankelijk van het concept van de gemeenschappelijke ruimtes</t>
  </si>
  <si>
    <t>Grondinname gemeenschappelijke ruimten</t>
  </si>
  <si>
    <t>gemeenschappelijke oprit, parkeerplaatsen, terraszone</t>
  </si>
  <si>
    <t>Voorziene startdatum werf</t>
  </si>
  <si>
    <t>Voorziene einddatum werf</t>
  </si>
  <si>
    <t>WEGING ABEX INDEX</t>
  </si>
  <si>
    <t>Totale weging (ABEX en aannames)</t>
  </si>
  <si>
    <t>Voorziene datum aankoop(akte)</t>
  </si>
  <si>
    <t>Bouw inpandige terrassen woonunits</t>
  </si>
  <si>
    <t>Bouw uitpandige terrassen woonunits</t>
  </si>
  <si>
    <t>Bouw gemeenschappelijke inpandige terrassen</t>
  </si>
  <si>
    <t>Bouw gemeenschappelijke uitpandige terrassen</t>
  </si>
  <si>
    <t>Unit 2</t>
  </si>
  <si>
    <t>Unit 3</t>
  </si>
  <si>
    <t>…</t>
  </si>
  <si>
    <t>incl. terrassen op gelijkvloers en private tuinen</t>
  </si>
  <si>
    <t>Oppervlakte gemeenschappelijke tuin</t>
  </si>
  <si>
    <t>Oppervlakte private tuin en terrassen gelijkvloers</t>
  </si>
  <si>
    <t>Private tuin + terrassen gelijkvloers</t>
  </si>
  <si>
    <t>Bewoners</t>
  </si>
  <si>
    <t>X en Y</t>
  </si>
  <si>
    <t>ALGEMENE INFO PROJECT</t>
  </si>
  <si>
    <t>HANDLEIDING</t>
  </si>
  <si>
    <t>Groen gekleurde cellen zijn de cellen die door de groep dienen ingevuld te worden</t>
  </si>
  <si>
    <t xml:space="preserve">xxx </t>
  </si>
  <si>
    <t>Wit gekleurde cellen zijn cellen die niet gewijzigd kunnen worden</t>
  </si>
  <si>
    <t>2.1. Tabblad Algemeen</t>
  </si>
  <si>
    <t>1. ALGEMENE ZAKEN</t>
  </si>
  <si>
    <t>2. UITLEG PER TABBLAD EN PER TITEL</t>
  </si>
  <si>
    <t>De groep kiest een groepsnaam voor hun groep</t>
  </si>
  <si>
    <t>Hier zet je de datum wanneer je deze financiële haalbaarheid hebt opgemaakt</t>
  </si>
  <si>
    <t>Hier kan je de aannames oplijsten; bvb we hebben nu nog maar een groep van 6 units, maar gaan nog op zoek naar 2 extra units of 'we gaan uit van een volledige afbraak',…</t>
  </si>
  <si>
    <t xml:space="preserve">Hier zet je de oppervlakte van de footprint van de private woonunits in. </t>
  </si>
  <si>
    <t xml:space="preserve">Hier zet je de oppervlakte van de footprint van de gemeenschappelijke ruimten in. </t>
  </si>
  <si>
    <t>Deze oppervlakte wordt automatisch overgenomen uit de tabel van de oppervlaktes. Deze kan dus niet gewijzigd worden</t>
  </si>
  <si>
    <t>Hier zet je de oppervlakte van de gemeenschappelijke tuin in</t>
  </si>
  <si>
    <t>Hier zet je de oppervlakte van de gemeenschappelijke verharde buitenruimte in. Dit kan de oprit zijn, de zone waar geparkeerd wordt, een gemeenschappelijk terras (op het gelijkvloers!), een verharde zone voor fietsen te stallen,…</t>
  </si>
  <si>
    <t>Hier zet je het aantal units in</t>
  </si>
  <si>
    <t>Hiervan is nu een inschatting gemaakt. Deze datum is onder voorbehoud</t>
  </si>
  <si>
    <t>Deze datum kan veranderd worden. Hou wel voldoende rekening met marges, verloven architect,….</t>
  </si>
  <si>
    <t>Deze datum kan veranderd worden. Hou er rekening mee dat de werf altijd kan uitlopen. Hou ook rekening met verlofdagen van de aannemer (bouwverlof) en dagen waarop het vriest of regent en waarop dus niet kan gewerkt worden (weerverletdagen)</t>
  </si>
  <si>
    <t>Titel:</t>
  </si>
  <si>
    <t>Externe projectmanager</t>
  </si>
  <si>
    <t xml:space="preserve">Externe groepscoach </t>
  </si>
  <si>
    <t>lijst 12</t>
  </si>
  <si>
    <t>Ja</t>
  </si>
  <si>
    <t>Neen</t>
  </si>
  <si>
    <t>Kredietaktes nodig</t>
  </si>
  <si>
    <t>Opmaak juridische entiteiten</t>
  </si>
  <si>
    <t>controle totaal:</t>
  </si>
  <si>
    <t>Indien de groep zal beroep doen op een externe projectmanager voor bvb het opvolgen van het budget, van de werken, … dan dient hier gekozen te worden voor 'JA'</t>
  </si>
  <si>
    <t>Indien de groep zal beroep doen op een externe groepscoach voor het begeleiden van de groep doorheen het project dan dient hier gekozen te worden voor 'JA'</t>
  </si>
  <si>
    <t>ABR= Alle bouwplaatsenrisico's. Dit is een verzekering die tijdens de werfperiode de schade verzekert aan het gebouw of aan derden. Dit is niet verplicht maar sterk aan te raden.</t>
  </si>
  <si>
    <t>BVO</t>
  </si>
  <si>
    <t xml:space="preserve">Indien de groep nog statuten dient op te richten, een vzw of een maatschap dan gaat dit gepaard met notariskosten </t>
  </si>
  <si>
    <t>de bruto vloeroppervlakte (BVO) is de som van alle vloeroppervlakten van alle vloerniveaus, privaat of gemeenschappelijk, gemeten langs de buitenomtrek van de aan het gebouw begrenzende bouwdelen, incl. bekleding of gemeten tot aan de hartlijn van de scheidingsmuren tussen gebouwen onderling. Het is de zogenoemde buitenmuurse oppervlakte. Ondergrondse constructies, (dak)terrassen en balkons worden steeds apart vermeld</t>
  </si>
  <si>
    <t>Inpandige terrassen zijn terrassen die zich binnen het beschermd hoofdvolume bevinden. Ze worden apart opgemeten, zonder overlapping noch tussenruimte met de BVO van het zgn. beschermd volume, incl. balustrades, randen, verticale opstanden, …</t>
  </si>
  <si>
    <t>Uitpandige terrassen zijn terrassen die zich buiten het beschermd hoofdvolume bevinden. Ze worden apart opgemeten, zonder overlapping noch tussenruimte met de BVO van het zgn. beschermd volume, incl. balustrades, randen, verticale opstanden, …</t>
  </si>
  <si>
    <t xml:space="preserve">Dit zijn de tuinen op het gelijkvloers en de terrassen op het gelijkvloers die enkel privaat door één woonunit worden gebruikt en dus niet gemeenschappelijk zijn. </t>
  </si>
  <si>
    <t>De berekening van de duizendsten gebeurt op basis van de verdeling van de vierkante meters. In het tabblad verdeling per unit kan er een bijkomende weging gedaan worden per unit om bvb bezonning, oriëntatie en dergelijke ook te laten meewegen in de duizendsten.</t>
  </si>
  <si>
    <t>Dit zijn de ruimtes die ter beschikking staan voor de volledige groep en dus niet privaat aan één of meerdere units toebehoren</t>
  </si>
  <si>
    <t>K en L</t>
  </si>
  <si>
    <t>M en N</t>
  </si>
  <si>
    <t>O</t>
  </si>
  <si>
    <t>A</t>
  </si>
  <si>
    <t>B, C en D</t>
  </si>
  <si>
    <t>E</t>
  </si>
  <si>
    <t>F</t>
  </si>
  <si>
    <t>G, H, I en J</t>
  </si>
  <si>
    <t>P, Q en R</t>
  </si>
  <si>
    <t>S, T, U, V en W</t>
  </si>
  <si>
    <t>Hier lijsten jullie de bewoners van de toekomstige units op</t>
  </si>
  <si>
    <t>Dit gaat over de vormgeving van de hoofdgebouwen. Indien dit een simpele kubus of rechthoek is, kan dit op standaard gezet worden. Voor complexere grondplannen, gebouwen met schuine of gebogen lijnen kan dit aangegeven worden door het uitklapmenu.</t>
  </si>
  <si>
    <t xml:space="preserve">Onder dit hoofdstuk worden aannames gemaakt die betrekking hebben op de nieuwbouwkeuzes van de groep. Deze gaan vooral over de inplanting en conceptie van de gebouwen en units, de keuzes in duurzaamheid, afwerking en opvatting van de gebouwen. Deze keuzes hebben een impact op het budget eb de gevolgen ervan kunnen bekeken worden in het tabblad kosten. Er is een mogelijkheid om aanpassingen te doen in deze wegingen. Wij raden echter niet-bouwprofessionelen af om hier aanpassingen te doen. Voor elke optie zijn verschillende opties mogelijk dmv het uitklapmenu. </t>
  </si>
  <si>
    <t xml:space="preserve">Dit gaat eveneens over de vormgeving van de hoofdgebouwen. Hoe meer geveloppervlak je hebt, hoe minder compact een gebouw is. Grote gebouwen zijn daarom redelijk compact omdat ze een heel groot volume insluiten en rijwoningen zijn compact omdat ze een kleiner verlies oppervlak hebben (de binnenmuren naar de buren vallen weg). Vrijstaande woningen zijn veel minder compact en hoe kleiner het volume van het gebouw hoe slechter de compactheid. </t>
  </si>
  <si>
    <t xml:space="preserve">Hier kan de groep de duurzaamheid bepalen van zijn toekomstige project. Dit kan gaan van de huidige norm volgend (E60) tot laagenergie, tot passief. </t>
  </si>
  <si>
    <t xml:space="preserve">Hier kan de groep de afwerkingsgraad bepalen van zijn toekomstige project. Dit kan gaan van een basisafwerking (denk IKEA) tot een hoogwaardige afwerking  </t>
  </si>
  <si>
    <t xml:space="preserve">Hier kiest de groep of hij voor de optie nieuwbouw of verbouwing gaat. </t>
  </si>
  <si>
    <t>De term 'levenslang wonen' verwijst naar een concept voor woningontwerp en -bouw, waardoor een woning gemakkelijker en zonder veel kosten kan worden aangepast aan de verschillende levensfasen en behoeften van de bewoners. Uit een zogenaamde 'levenslange woning' moet men in principe niet meer verhuizen omwille van ouderdom of een bepaalde handicap. De groep kiest zelf of hij dit principe wil toepassen.</t>
  </si>
  <si>
    <t>Indien de groep wenst beroep te doen op de subsidie van het Vlaamse gewest voor de sloopkosten, dan kiest de groep hier voor 'JA'.</t>
  </si>
  <si>
    <t>Kredietakte nodig</t>
  </si>
  <si>
    <t>In dit tabblad worden alle kosten automatisch berekend op basis van de input van de groep onder het tabblad algemeen (oppervlaktes, aannames, ...). Dit tabblad is een rekenblad en kan niet aangepast worden door de groep. Indien de groep wenst aan te passen, dient deze de aannames in het tabblad algemeen aan te passen. Voor sommige posten staat erbij vermeld dat deze 'facultatief' zijn. Indien de groep deze kosten in rekening wenst te brengen dient hij in het tabblad algemeen bij de desbetreffende post 'JA' aan te duiden.</t>
  </si>
  <si>
    <t xml:space="preserve">De ABEX index is een index gebaseerd op de kosten van constructies voor gebouwen en privé woningen. In de formule onder deze titel worden de huidige bouwkosten automatisch omgerekend naar de bouwkosten die te verwachten zijn bij uitvoering van de werf. Ook de verschillende wegingen van de aannames worden hierin verwerkt. Deze formule kan niet aangepast worden. </t>
  </si>
  <si>
    <t>2.2. Tabblad Kosten</t>
  </si>
  <si>
    <t>2.3. Tabblad Verdeling per unit</t>
  </si>
  <si>
    <t>Extra weging</t>
  </si>
  <si>
    <t>Nieuwe duizendsten</t>
  </si>
  <si>
    <t>duizendsten obv BVO</t>
  </si>
  <si>
    <t>Het doel van deze tabel is om de totale kostprijs te kunnen bekijken per woonunit en per gezin. In deze tabel worden automatisch de verschillende units overgenomen, de toekomstige bewoners en de oppervlaktes van de private woonunits en de duizendsten. De groep kan zelf beslissen om een extra weging door te voeren voor de verschillende woonentiteiten. Momenteel worden de duizendsten berekend op basis van de private oppervlaktes van de private woning. De groep kan bvb beslissen om ook de oriëntatie of bezonning te laten doorwegen in de berekening van de duizendsten. Indien zij dit wensen kunnen zij dit aanpassen in de kolom 'extra weging', door bvb een woonunit met goede bezonning factor 105% te geven en een woning met slechte bezonning factor 95% te geven. Indien de weging handmatig aangepast wordt, zorg er dan wel voor dat de som van alle duizendsten (cel H16) telkens 1000 blijft! Indien dit niet het geval is kleurt de cel rood en dienen de wegingen aangepast te worden</t>
  </si>
  <si>
    <t xml:space="preserve">In de kolom 'extra afwerking' kunnen de gezinnen per unit een extra budget voorzien voor afwerking. Sowieso zit in de bouwkost reeds standaardafwerking voorzien (excl. schilderwerken, armaturen, meubelen). In deze post kan u dus een budget voorzien voor schilderwerken, een duurdere keuken, verlichting, interieurspullen ea. </t>
  </si>
  <si>
    <t>BTW op notariskosten</t>
  </si>
  <si>
    <t>Indien gezinnen of de groep in zijn geheel een lening aangaat voor de bouw of aankoop, dan zal een kredietakte nodig zijn, die gepaard gaat met kosten</t>
  </si>
  <si>
    <t>Unit 12</t>
  </si>
  <si>
    <t>Unit 13</t>
  </si>
  <si>
    <t>Unit 14</t>
  </si>
  <si>
    <t>Unit 15</t>
  </si>
  <si>
    <t>Unit 16</t>
  </si>
  <si>
    <t>Unit 17</t>
  </si>
  <si>
    <t>Unit 18</t>
  </si>
  <si>
    <t>Unit 19</t>
  </si>
  <si>
    <t>Unit 20</t>
  </si>
  <si>
    <t>X, Y en Z</t>
  </si>
  <si>
    <t>Benaming ruimte</t>
  </si>
  <si>
    <t>keuken</t>
  </si>
  <si>
    <t>Zone 3</t>
  </si>
  <si>
    <t>Zone 4</t>
  </si>
  <si>
    <t>Zone 5</t>
  </si>
  <si>
    <t>Zone 6</t>
  </si>
  <si>
    <t>Zone 7</t>
  </si>
  <si>
    <t>Zone 8</t>
  </si>
  <si>
    <t>zitruimte</t>
  </si>
  <si>
    <t>logeerkamer</t>
  </si>
  <si>
    <t>BVO Gemeen-schappelijke ruimten</t>
  </si>
  <si>
    <t>zie draaiboek projectdossier</t>
  </si>
  <si>
    <t>Sloopinventaris</t>
  </si>
  <si>
    <t>Raming sloop 3 woningen en garageboxen</t>
  </si>
  <si>
    <t>€ tot einde sloop; dan herberekening mogelijk; sloop 6 maanden na start werken</t>
  </si>
  <si>
    <t>ERFPACHT</t>
  </si>
  <si>
    <t>Erfpachtbedrag</t>
  </si>
  <si>
    <t>Aktekosten erfpacht</t>
  </si>
  <si>
    <t>Voorziene datum akte</t>
  </si>
  <si>
    <t>Verkoop of erfpacht</t>
  </si>
  <si>
    <t>lijst 13</t>
  </si>
  <si>
    <t>Erfpacht</t>
  </si>
  <si>
    <t>Verkoop</t>
  </si>
  <si>
    <t>Overdrachtsformule</t>
  </si>
  <si>
    <t>www.notaris.be</t>
  </si>
  <si>
    <t>jaar</t>
  </si>
  <si>
    <t>onder voorbehoud dat 6% btw sloop en nieuwbouw van toepassing is op dit project</t>
  </si>
  <si>
    <t>kosten doorverkoop of herverdeling niet meegerekend, prijs in functie van de techniciteit van de akte</t>
  </si>
  <si>
    <t>Deze oppervlakte is de oppervlakte van het verkochte perceel. Deze kan je niet aanpassen.</t>
  </si>
  <si>
    <t>jaarlijkse erfpachtcanon, basis 2018, jaarlijks te indexeren</t>
  </si>
  <si>
    <t>Bouw ondergrondse parking</t>
  </si>
  <si>
    <t>Oppervlakte ondergrondse parking</t>
  </si>
  <si>
    <t>Bouwkost sterk afhankelijk van ontwerp</t>
  </si>
  <si>
    <t>Totaal erfpacht</t>
  </si>
</sst>
</file>

<file path=xl/styles.xml><?xml version="1.0" encoding="utf-8"?>
<styleSheet xmlns="http://schemas.openxmlformats.org/spreadsheetml/2006/main">
  <numFmts count="5">
    <numFmt numFmtId="44" formatCode="_ &quot;€&quot;\ * #,##0.00_ ;_ &quot;€&quot;\ * \-#,##0.00_ ;_ &quot;€&quot;\ * &quot;-&quot;??_ ;_ @_ "/>
    <numFmt numFmtId="164" formatCode="0.0%"/>
    <numFmt numFmtId="165" formatCode="_ [$€-813]\ * #,##0.00_ ;_ [$€-813]\ * \-#,##0.00_ ;_ [$€-813]\ * &quot;-&quot;??_ ;_ @_ "/>
    <numFmt numFmtId="166" formatCode="_ &quot;€&quot;\ * #,##0_ ;_ &quot;€&quot;\ * \-#,##0_ ;_ &quot;€&quot;\ * &quot;-&quot;??_ ;_ @_ "/>
    <numFmt numFmtId="167" formatCode="#,##0_ ;\-#,##0\ "/>
  </numFmts>
  <fonts count="3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sz val="9"/>
      <color theme="1"/>
      <name val="Calibri"/>
      <family val="2"/>
      <scheme val="minor"/>
    </font>
    <font>
      <b/>
      <sz val="12"/>
      <color theme="1"/>
      <name val="Calibri"/>
      <family val="2"/>
      <scheme val="minor"/>
    </font>
    <font>
      <sz val="10"/>
      <name val="Arial"/>
      <family val="2"/>
    </font>
    <font>
      <sz val="10"/>
      <name val="Verdana"/>
      <family val="2"/>
    </font>
    <font>
      <i/>
      <sz val="10"/>
      <color theme="1"/>
      <name val="Calibri"/>
      <family val="2"/>
      <scheme val="minor"/>
    </font>
    <font>
      <sz val="10"/>
      <color rgb="FF7030A0"/>
      <name val="Calibri"/>
      <family val="2"/>
      <scheme val="minor"/>
    </font>
    <font>
      <sz val="8"/>
      <color theme="1"/>
      <name val="Calibri"/>
      <family val="2"/>
      <scheme val="minor"/>
    </font>
    <font>
      <u/>
      <sz val="9"/>
      <color theme="5"/>
      <name val="Calibri"/>
      <family val="2"/>
      <scheme val="minor"/>
    </font>
    <font>
      <sz val="8"/>
      <color theme="5"/>
      <name val="Calibri"/>
      <family val="2"/>
      <scheme val="minor"/>
    </font>
    <font>
      <i/>
      <sz val="10"/>
      <color rgb="FF7030A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i/>
      <sz val="10"/>
      <name val="Calibri"/>
      <family val="2"/>
      <scheme val="minor"/>
    </font>
    <font>
      <sz val="9"/>
      <name val="Calibri"/>
      <family val="2"/>
      <scheme val="minor"/>
    </font>
    <font>
      <sz val="10"/>
      <name val="Calibri"/>
      <family val="2"/>
      <scheme val="minor"/>
    </font>
    <font>
      <sz val="11"/>
      <color theme="0"/>
      <name val="Calibri"/>
      <family val="2"/>
      <scheme val="minor"/>
    </font>
    <font>
      <b/>
      <sz val="10"/>
      <name val="Calibri"/>
      <family val="2"/>
      <scheme val="minor"/>
    </font>
    <font>
      <b/>
      <sz val="20"/>
      <color theme="0"/>
      <name val="Calibri"/>
      <family val="2"/>
      <scheme val="minor"/>
    </font>
    <font>
      <sz val="20"/>
      <color theme="0"/>
      <name val="Calibri"/>
      <family val="2"/>
      <scheme val="minor"/>
    </font>
    <font>
      <sz val="11"/>
      <color rgb="FF7030A0"/>
      <name val="Calibri"/>
      <family val="2"/>
      <scheme val="minor"/>
    </font>
    <font>
      <b/>
      <u/>
      <sz val="11"/>
      <color theme="1"/>
      <name val="Calibri"/>
      <family val="2"/>
      <scheme val="minor"/>
    </font>
    <font>
      <b/>
      <u/>
      <sz val="14"/>
      <color theme="1"/>
      <name val="Calibri"/>
      <family val="2"/>
      <scheme val="minor"/>
    </font>
    <font>
      <sz val="10"/>
      <color theme="2" tint="-0.749992370372631"/>
      <name val="Calibri"/>
      <family val="2"/>
      <scheme val="minor"/>
    </font>
    <font>
      <i/>
      <sz val="8"/>
      <color rgb="FFFF0000"/>
      <name val="Calibri"/>
      <family val="2"/>
      <scheme val="minor"/>
    </font>
    <font>
      <sz val="9"/>
      <color rgb="FFFF0000"/>
      <name val="Calibri"/>
      <family val="2"/>
      <scheme val="minor"/>
    </font>
    <font>
      <b/>
      <u/>
      <sz val="14"/>
      <color theme="8" tint="-0.249977111117893"/>
      <name val="Calibri"/>
      <family val="2"/>
      <scheme val="minor"/>
    </font>
    <font>
      <sz val="10"/>
      <color rgb="FFFF0000"/>
      <name val="Calibri"/>
      <family val="2"/>
      <scheme val="minor"/>
    </font>
    <font>
      <i/>
      <sz val="11"/>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8" tint="0.39997558519241921"/>
        <bgColor indexed="64"/>
      </patternFill>
    </fill>
    <fill>
      <patternFill patternType="solid">
        <fgColor rgb="FFF2F6EA"/>
        <bgColor indexed="64"/>
      </patternFill>
    </fill>
    <fill>
      <gradientFill degree="270">
        <stop position="0">
          <color theme="0"/>
        </stop>
        <stop position="1">
          <color theme="0" tint="-0.1490218817712943"/>
        </stop>
      </gradientFill>
    </fill>
    <fill>
      <patternFill patternType="solid">
        <fgColor theme="2" tint="-9.9978637043366805E-2"/>
        <bgColor indexed="64"/>
      </patternFill>
    </fill>
    <fill>
      <patternFill patternType="solid">
        <fgColor theme="1"/>
        <bgColor indexed="64"/>
      </patternFill>
    </fill>
    <fill>
      <patternFill patternType="solid">
        <fgColor theme="8" tint="0.79998168889431442"/>
        <bgColor indexed="64"/>
      </patternFill>
    </fill>
  </fills>
  <borders count="20">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9" fillId="0" borderId="0"/>
  </cellStyleXfs>
  <cellXfs count="217">
    <xf numFmtId="0" fontId="0" fillId="0" borderId="0" xfId="0"/>
    <xf numFmtId="0" fontId="0" fillId="0" borderId="0" xfId="0" applyAlignment="1">
      <alignment horizontal="right"/>
    </xf>
    <xf numFmtId="0" fontId="3" fillId="0" borderId="0" xfId="0" applyFont="1" applyAlignment="1">
      <alignment horizontal="right"/>
    </xf>
    <xf numFmtId="0" fontId="2" fillId="0" borderId="0" xfId="0" applyFont="1" applyAlignment="1">
      <alignment horizontal="right"/>
    </xf>
    <xf numFmtId="0" fontId="0" fillId="0" borderId="0" xfId="0" applyBorder="1"/>
    <xf numFmtId="0" fontId="0" fillId="0" borderId="0" xfId="0" applyBorder="1" applyAlignment="1">
      <alignment horizontal="right"/>
    </xf>
    <xf numFmtId="0" fontId="0" fillId="0" borderId="0" xfId="0" applyFill="1" applyBorder="1"/>
    <xf numFmtId="0" fontId="0" fillId="0" borderId="0" xfId="0" applyAlignment="1">
      <alignment vertical="center"/>
    </xf>
    <xf numFmtId="44" fontId="0" fillId="0" borderId="0" xfId="1" applyFont="1" applyBorder="1" applyAlignment="1">
      <alignment vertical="center"/>
    </xf>
    <xf numFmtId="0" fontId="0" fillId="0" borderId="0" xfId="0" applyBorder="1" applyAlignment="1">
      <alignment vertical="center"/>
    </xf>
    <xf numFmtId="9" fontId="3" fillId="0" borderId="0" xfId="0" applyNumberFormat="1" applyFont="1" applyAlignment="1">
      <alignment horizontal="right"/>
    </xf>
    <xf numFmtId="0" fontId="3" fillId="0" borderId="1" xfId="0" applyFont="1" applyBorder="1" applyAlignment="1">
      <alignment horizontal="right"/>
    </xf>
    <xf numFmtId="0" fontId="4" fillId="0" borderId="0" xfId="0" applyFont="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0" fillId="0" borderId="0" xfId="0"/>
    <xf numFmtId="0" fontId="0" fillId="0" borderId="0" xfId="0" applyAlignment="1">
      <alignment horizontal="center" vertical="center"/>
    </xf>
    <xf numFmtId="0" fontId="0" fillId="0" borderId="0" xfId="0" applyBorder="1"/>
    <xf numFmtId="0" fontId="2" fillId="0" borderId="0" xfId="0" applyFont="1"/>
    <xf numFmtId="0" fontId="0" fillId="0" borderId="0" xfId="0" applyAlignment="1">
      <alignment horizontal="right"/>
    </xf>
    <xf numFmtId="44" fontId="0" fillId="0" borderId="0" xfId="1" applyFont="1" applyAlignment="1">
      <alignment horizontal="center" vertical="center"/>
    </xf>
    <xf numFmtId="44" fontId="2" fillId="0" borderId="0" xfId="1" applyFont="1" applyAlignment="1">
      <alignment horizontal="center" vertical="center"/>
    </xf>
    <xf numFmtId="44" fontId="3" fillId="0" borderId="0" xfId="0" applyNumberFormat="1" applyFont="1" applyAlignment="1">
      <alignment horizontal="right"/>
    </xf>
    <xf numFmtId="0" fontId="10" fillId="0" borderId="0" xfId="0" applyFont="1" applyAlignment="1">
      <alignment horizontal="left"/>
    </xf>
    <xf numFmtId="0" fontId="3" fillId="5" borderId="0" xfId="0" applyFont="1" applyFill="1" applyBorder="1" applyAlignment="1">
      <alignment horizontal="left" vertical="center"/>
    </xf>
    <xf numFmtId="3" fontId="3" fillId="0" borderId="0" xfId="0" applyNumberFormat="1" applyFont="1" applyAlignment="1">
      <alignment horizontal="right"/>
    </xf>
    <xf numFmtId="0" fontId="0" fillId="0" borderId="0" xfId="0" applyAlignment="1">
      <alignment horizontal="right"/>
    </xf>
    <xf numFmtId="0" fontId="3" fillId="0" borderId="0" xfId="0" applyFont="1"/>
    <xf numFmtId="44" fontId="3" fillId="0" borderId="0" xfId="1" applyFont="1" applyAlignment="1">
      <alignment horizontal="center" vertical="center"/>
    </xf>
    <xf numFmtId="0" fontId="3" fillId="0" borderId="1" xfId="0" applyFont="1" applyBorder="1"/>
    <xf numFmtId="0" fontId="4" fillId="0" borderId="0" xfId="0" applyFont="1"/>
    <xf numFmtId="44" fontId="4" fillId="0" borderId="2" xfId="1" applyFont="1" applyBorder="1" applyAlignment="1">
      <alignment horizontal="center" vertical="center"/>
    </xf>
    <xf numFmtId="44" fontId="4" fillId="0" borderId="0" xfId="1" applyFont="1" applyBorder="1" applyAlignment="1">
      <alignment horizontal="center" vertical="center"/>
    </xf>
    <xf numFmtId="0" fontId="3" fillId="0" borderId="0" xfId="0" applyFont="1" applyBorder="1"/>
    <xf numFmtId="44" fontId="3" fillId="0" borderId="0" xfId="1" applyFont="1" applyBorder="1" applyAlignment="1">
      <alignment horizontal="center" vertical="center"/>
    </xf>
    <xf numFmtId="44" fontId="4"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Border="1" applyAlignment="1">
      <alignment horizontal="right"/>
    </xf>
    <xf numFmtId="0" fontId="3" fillId="5" borderId="0" xfId="0" applyFont="1" applyFill="1" applyBorder="1" applyAlignment="1">
      <alignment horizontal="left" vertical="center" wrapText="1"/>
    </xf>
    <xf numFmtId="1" fontId="3" fillId="0" borderId="0" xfId="1" applyNumberFormat="1" applyFont="1" applyBorder="1" applyAlignment="1">
      <alignment vertical="center"/>
    </xf>
    <xf numFmtId="1" fontId="3" fillId="0" borderId="0" xfId="0" applyNumberFormat="1" applyFont="1" applyBorder="1"/>
    <xf numFmtId="44" fontId="3" fillId="0" borderId="0" xfId="1" applyFont="1" applyBorder="1" applyAlignment="1">
      <alignment vertical="center"/>
    </xf>
    <xf numFmtId="0" fontId="3" fillId="0" borderId="0" xfId="0" applyFont="1" applyBorder="1" applyAlignment="1">
      <alignment vertical="center"/>
    </xf>
    <xf numFmtId="9" fontId="3" fillId="0" borderId="0" xfId="0" applyNumberFormat="1" applyFont="1" applyAlignment="1">
      <alignment horizontal="center" vertical="center"/>
    </xf>
    <xf numFmtId="9" fontId="11" fillId="4" borderId="0" xfId="2" applyFont="1" applyFill="1" applyAlignment="1" applyProtection="1">
      <alignment horizontal="center" vertical="center"/>
      <protection locked="0"/>
    </xf>
    <xf numFmtId="9" fontId="3" fillId="0" borderId="0" xfId="2" applyNumberFormat="1" applyFont="1" applyBorder="1" applyAlignment="1">
      <alignment horizontal="center" vertical="center"/>
    </xf>
    <xf numFmtId="0" fontId="11" fillId="0" borderId="1" xfId="0" applyFont="1" applyFill="1" applyBorder="1" applyAlignment="1" applyProtection="1">
      <alignment horizontal="left" vertical="center"/>
      <protection locked="0"/>
    </xf>
    <xf numFmtId="0" fontId="3" fillId="0" borderId="1" xfId="0" applyFont="1" applyBorder="1" applyAlignment="1">
      <alignment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11" fillId="0" borderId="1" xfId="2" applyFont="1" applyFill="1" applyBorder="1" applyAlignment="1" applyProtection="1">
      <alignment horizontal="center" vertical="center"/>
      <protection locked="0"/>
    </xf>
    <xf numFmtId="9" fontId="11" fillId="4" borderId="1" xfId="2" applyFont="1" applyFill="1" applyBorder="1" applyAlignment="1" applyProtection="1">
      <alignment horizontal="center" vertical="center"/>
      <protection locked="0"/>
    </xf>
    <xf numFmtId="9" fontId="3" fillId="0" borderId="1" xfId="2" applyNumberFormat="1" applyFont="1" applyBorder="1" applyAlignment="1">
      <alignment horizontal="center" vertical="center"/>
    </xf>
    <xf numFmtId="9" fontId="3" fillId="0" borderId="5" xfId="2" applyNumberFormat="1" applyFont="1" applyBorder="1" applyAlignment="1">
      <alignment horizontal="center" vertical="center"/>
    </xf>
    <xf numFmtId="44" fontId="3" fillId="0" borderId="0" xfId="1" applyFont="1" applyAlignment="1">
      <alignment vertical="center"/>
    </xf>
    <xf numFmtId="164" fontId="3" fillId="0" borderId="0" xfId="0" applyNumberFormat="1" applyFont="1" applyAlignment="1">
      <alignment horizontal="right"/>
    </xf>
    <xf numFmtId="10" fontId="6" fillId="0" borderId="0" xfId="2" applyNumberFormat="1" applyFont="1" applyAlignment="1">
      <alignment horizontal="right" vertical="center"/>
    </xf>
    <xf numFmtId="0" fontId="0" fillId="0" borderId="0" xfId="0"/>
    <xf numFmtId="0" fontId="6" fillId="0" borderId="0" xfId="0" applyFont="1" applyAlignment="1">
      <alignment vertical="center"/>
    </xf>
    <xf numFmtId="0" fontId="6" fillId="0" borderId="0" xfId="0" applyFont="1" applyAlignment="1">
      <alignment horizontal="right" vertical="center"/>
    </xf>
    <xf numFmtId="0" fontId="3" fillId="0" borderId="0" xfId="0" applyFont="1"/>
    <xf numFmtId="0" fontId="3" fillId="0" borderId="0" xfId="0" applyFont="1" applyAlignment="1">
      <alignment vertical="center"/>
    </xf>
    <xf numFmtId="0" fontId="6" fillId="0" borderId="0" xfId="0" applyFont="1" applyAlignment="1">
      <alignment horizontal="center" vertical="center"/>
    </xf>
    <xf numFmtId="14" fontId="6" fillId="0" borderId="0" xfId="0" applyNumberFormat="1" applyFont="1" applyAlignment="1">
      <alignment vertical="center"/>
    </xf>
    <xf numFmtId="2" fontId="6" fillId="0" borderId="0" xfId="0" applyNumberFormat="1" applyFont="1" applyAlignment="1">
      <alignment vertical="center"/>
    </xf>
    <xf numFmtId="9" fontId="6" fillId="0" borderId="0" xfId="0" applyNumberFormat="1" applyFont="1" applyAlignment="1">
      <alignment vertical="center"/>
    </xf>
    <xf numFmtId="2" fontId="6" fillId="0" borderId="0" xfId="0" applyNumberFormat="1" applyFont="1" applyAlignment="1">
      <alignment horizontal="center" vertical="center"/>
    </xf>
    <xf numFmtId="17" fontId="12" fillId="0" borderId="0" xfId="0" applyNumberFormat="1" applyFont="1" applyAlignment="1">
      <alignment horizontal="left" vertical="center"/>
    </xf>
    <xf numFmtId="0" fontId="3" fillId="0" borderId="0" xfId="0" applyFont="1" applyAlignment="1">
      <alignment horizontal="right" vertical="center"/>
    </xf>
    <xf numFmtId="0" fontId="12" fillId="0" borderId="0" xfId="0" applyFont="1" applyAlignment="1">
      <alignment horizontal="right" vertical="center"/>
    </xf>
    <xf numFmtId="14" fontId="6" fillId="0" borderId="0" xfId="0" applyNumberFormat="1" applyFont="1" applyFill="1" applyAlignment="1">
      <alignment vertical="center"/>
    </xf>
    <xf numFmtId="1" fontId="3" fillId="0" borderId="1" xfId="1" applyNumberFormat="1" applyFont="1" applyFill="1" applyBorder="1" applyAlignment="1">
      <alignment vertical="center"/>
    </xf>
    <xf numFmtId="1" fontId="3" fillId="0" borderId="1" xfId="0" applyNumberFormat="1" applyFont="1" applyFill="1" applyBorder="1" applyAlignment="1">
      <alignment vertical="center"/>
    </xf>
    <xf numFmtId="1" fontId="3" fillId="0" borderId="1" xfId="0" applyNumberFormat="1" applyFont="1" applyFill="1" applyBorder="1"/>
    <xf numFmtId="0" fontId="4" fillId="0" borderId="0" xfId="0" applyFont="1" applyBorder="1"/>
    <xf numFmtId="1" fontId="4" fillId="0" borderId="3" xfId="1" applyNumberFormat="1" applyFont="1" applyBorder="1" applyAlignment="1">
      <alignment vertical="center"/>
    </xf>
    <xf numFmtId="1" fontId="4" fillId="0" borderId="1" xfId="1" applyNumberFormat="1" applyFont="1" applyBorder="1" applyAlignment="1">
      <alignment vertical="center"/>
    </xf>
    <xf numFmtId="1" fontId="4" fillId="0" borderId="4" xfId="0" applyNumberFormat="1" applyFont="1" applyBorder="1"/>
    <xf numFmtId="1" fontId="4" fillId="0" borderId="0" xfId="0" applyNumberFormat="1" applyFont="1" applyBorder="1"/>
    <xf numFmtId="0" fontId="16" fillId="0" borderId="0" xfId="0" applyFont="1" applyAlignment="1">
      <alignment horizontal="right" vertical="center"/>
    </xf>
    <xf numFmtId="0" fontId="17" fillId="7" borderId="0" xfId="0" applyFont="1" applyFill="1" applyAlignment="1">
      <alignment vertical="center"/>
    </xf>
    <xf numFmtId="0" fontId="16" fillId="7" borderId="0" xfId="0" applyFont="1" applyFill="1" applyAlignment="1">
      <alignment horizontal="right" vertical="center"/>
    </xf>
    <xf numFmtId="0" fontId="16" fillId="7" borderId="0" xfId="0" applyFont="1" applyFill="1" applyAlignment="1">
      <alignment horizontal="center" vertical="center"/>
    </xf>
    <xf numFmtId="0" fontId="18" fillId="7" borderId="0" xfId="0" applyFont="1" applyFill="1" applyAlignment="1">
      <alignment horizontal="left" vertical="center"/>
    </xf>
    <xf numFmtId="0" fontId="16" fillId="0" borderId="0" xfId="0" applyFont="1" applyAlignment="1">
      <alignment vertical="center"/>
    </xf>
    <xf numFmtId="1" fontId="4" fillId="0" borderId="6" xfId="0" applyNumberFormat="1" applyFont="1" applyBorder="1"/>
    <xf numFmtId="44" fontId="3" fillId="0" borderId="0" xfId="0" applyNumberFormat="1" applyFont="1"/>
    <xf numFmtId="165" fontId="4" fillId="0" borderId="13" xfId="0" applyNumberFormat="1" applyFont="1" applyBorder="1"/>
    <xf numFmtId="44" fontId="3" fillId="0" borderId="0" xfId="1" applyFont="1"/>
    <xf numFmtId="0" fontId="11" fillId="2" borderId="0" xfId="0" applyFont="1" applyFill="1" applyAlignment="1">
      <alignment vertical="center"/>
    </xf>
    <xf numFmtId="1" fontId="3" fillId="0" borderId="0" xfId="1" applyNumberFormat="1" applyFont="1" applyFill="1" applyBorder="1" applyAlignment="1">
      <alignment vertical="center"/>
    </xf>
    <xf numFmtId="166" fontId="17" fillId="7" borderId="0" xfId="0" applyNumberFormat="1" applyFont="1" applyFill="1" applyAlignment="1">
      <alignment horizontal="center"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11" xfId="0" applyFont="1" applyFill="1" applyBorder="1" applyAlignment="1">
      <alignment vertical="center"/>
    </xf>
    <xf numFmtId="0" fontId="14" fillId="6" borderId="12" xfId="0" applyFont="1" applyFill="1" applyBorder="1" applyAlignment="1">
      <alignment vertical="center"/>
    </xf>
    <xf numFmtId="9" fontId="14" fillId="6" borderId="12" xfId="0" applyNumberFormat="1" applyFont="1" applyFill="1" applyBorder="1" applyAlignment="1">
      <alignment vertical="center"/>
    </xf>
    <xf numFmtId="9" fontId="14" fillId="6" borderId="12" xfId="2" applyFont="1" applyFill="1" applyBorder="1" applyAlignment="1">
      <alignment vertical="center"/>
    </xf>
    <xf numFmtId="9" fontId="14" fillId="6" borderId="10" xfId="2" applyFont="1" applyFill="1" applyBorder="1" applyAlignment="1">
      <alignment vertical="center"/>
    </xf>
    <xf numFmtId="9" fontId="14" fillId="6" borderId="9" xfId="0" applyNumberFormat="1" applyFont="1" applyFill="1" applyBorder="1" applyAlignment="1">
      <alignment vertical="center"/>
    </xf>
    <xf numFmtId="9" fontId="6" fillId="0" borderId="0" xfId="2" applyFont="1" applyAlignment="1">
      <alignment horizontal="center" vertical="center"/>
    </xf>
    <xf numFmtId="1" fontId="19" fillId="0" borderId="0" xfId="0" applyNumberFormat="1" applyFont="1" applyFill="1" applyAlignment="1">
      <alignment vertical="center"/>
    </xf>
    <xf numFmtId="10" fontId="20" fillId="0" borderId="0" xfId="2" applyNumberFormat="1" applyFont="1" applyFill="1" applyAlignment="1" applyProtection="1">
      <alignment vertical="center"/>
      <protection locked="0"/>
    </xf>
    <xf numFmtId="0" fontId="3" fillId="0" borderId="0" xfId="0" applyFont="1" applyAlignment="1"/>
    <xf numFmtId="1" fontId="3" fillId="0" borderId="0" xfId="0" applyNumberFormat="1" applyFont="1" applyFill="1" applyBorder="1" applyAlignment="1">
      <alignment vertical="center"/>
    </xf>
    <xf numFmtId="1" fontId="4" fillId="0" borderId="0" xfId="1" applyNumberFormat="1" applyFont="1" applyBorder="1" applyAlignment="1">
      <alignment vertical="center"/>
    </xf>
    <xf numFmtId="14" fontId="20" fillId="0" borderId="0" xfId="0" applyNumberFormat="1" applyFont="1" applyFill="1" applyAlignment="1">
      <alignment vertical="center"/>
    </xf>
    <xf numFmtId="0" fontId="23" fillId="0" borderId="0" xfId="0" applyFont="1" applyFill="1" applyBorder="1" applyAlignment="1">
      <alignment horizontal="left" vertical="center" wrapText="1"/>
    </xf>
    <xf numFmtId="164" fontId="23" fillId="0" borderId="0" xfId="0" applyNumberFormat="1" applyFont="1" applyFill="1" applyBorder="1" applyAlignment="1">
      <alignment horizontal="right" vertical="center" wrapText="1"/>
    </xf>
    <xf numFmtId="0" fontId="0" fillId="0" borderId="1" xfId="0" applyBorder="1"/>
    <xf numFmtId="10" fontId="6" fillId="0" borderId="14" xfId="2" applyNumberFormat="1" applyFont="1" applyBorder="1" applyAlignment="1">
      <alignment vertical="center"/>
    </xf>
    <xf numFmtId="0" fontId="15" fillId="0" borderId="0" xfId="0" applyFont="1" applyFill="1" applyBorder="1" applyAlignment="1">
      <alignment vertical="center"/>
    </xf>
    <xf numFmtId="0" fontId="21" fillId="0" borderId="0" xfId="0" applyFont="1" applyFill="1" applyAlignment="1">
      <alignment vertical="center"/>
    </xf>
    <xf numFmtId="0" fontId="0" fillId="0" borderId="0" xfId="0" applyAlignment="1">
      <alignment vertical="center"/>
    </xf>
    <xf numFmtId="0" fontId="26" fillId="2" borderId="0" xfId="0" applyFont="1" applyFill="1"/>
    <xf numFmtId="0" fontId="27" fillId="0" borderId="0" xfId="0" applyFont="1"/>
    <xf numFmtId="0" fontId="0" fillId="8" borderId="0" xfId="0" applyFill="1"/>
    <xf numFmtId="0" fontId="0" fillId="0" borderId="0" xfId="0" applyFill="1"/>
    <xf numFmtId="0" fontId="27" fillId="8" borderId="0" xfId="0" applyFont="1" applyFill="1" applyAlignment="1">
      <alignment vertical="center"/>
    </xf>
    <xf numFmtId="0" fontId="27" fillId="0" borderId="0" xfId="0" applyFont="1" applyFill="1" applyAlignment="1">
      <alignment vertical="center"/>
    </xf>
    <xf numFmtId="0" fontId="28" fillId="8" borderId="0" xfId="0" applyFont="1" applyFill="1" applyAlignment="1">
      <alignment vertical="center"/>
    </xf>
    <xf numFmtId="0" fontId="0" fillId="0" borderId="0" xfId="0" applyAlignment="1">
      <alignment wrapText="1"/>
    </xf>
    <xf numFmtId="0" fontId="3" fillId="0" borderId="0" xfId="0" applyFont="1" applyAlignment="1">
      <alignment vertical="top"/>
    </xf>
    <xf numFmtId="0" fontId="3" fillId="0" borderId="0" xfId="0" applyFont="1" applyAlignment="1">
      <alignment wrapText="1"/>
    </xf>
    <xf numFmtId="0" fontId="11" fillId="0" borderId="0" xfId="0" applyFont="1" applyFill="1" applyAlignment="1">
      <alignment vertical="center"/>
    </xf>
    <xf numFmtId="14" fontId="15" fillId="0" borderId="0" xfId="0" applyNumberFormat="1" applyFont="1" applyFill="1" applyAlignment="1">
      <alignment vertical="center"/>
    </xf>
    <xf numFmtId="3" fontId="3" fillId="0" borderId="0" xfId="0" applyNumberFormat="1" applyFont="1" applyFill="1" applyAlignment="1">
      <alignment horizontal="right"/>
    </xf>
    <xf numFmtId="44" fontId="3" fillId="0" borderId="0" xfId="1" applyFont="1" applyFill="1" applyAlignment="1">
      <alignment horizontal="center" vertical="center"/>
    </xf>
    <xf numFmtId="44" fontId="3" fillId="0" borderId="1" xfId="1" applyFont="1" applyFill="1" applyBorder="1" applyAlignment="1">
      <alignment horizontal="center" vertical="center"/>
    </xf>
    <xf numFmtId="0" fontId="29" fillId="6" borderId="0" xfId="0" applyFont="1" applyFill="1"/>
    <xf numFmtId="0" fontId="21" fillId="0" borderId="0" xfId="0" applyFont="1" applyFill="1"/>
    <xf numFmtId="0" fontId="15" fillId="2" borderId="0" xfId="0" applyFont="1" applyFill="1" applyAlignment="1" applyProtection="1">
      <alignment vertical="center"/>
      <protection locked="0"/>
    </xf>
    <xf numFmtId="14" fontId="15" fillId="2" borderId="0" xfId="0" applyNumberFormat="1" applyFont="1" applyFill="1" applyAlignment="1" applyProtection="1">
      <alignment vertical="center"/>
      <protection locked="0"/>
    </xf>
    <xf numFmtId="1" fontId="11" fillId="2" borderId="0" xfId="1" applyNumberFormat="1" applyFont="1" applyFill="1" applyBorder="1" applyAlignment="1" applyProtection="1">
      <alignment vertical="center"/>
      <protection locked="0"/>
    </xf>
    <xf numFmtId="0" fontId="11" fillId="2" borderId="0" xfId="0" applyFont="1" applyFill="1" applyBorder="1" applyProtection="1">
      <protection locked="0"/>
    </xf>
    <xf numFmtId="1" fontId="11" fillId="2" borderId="0" xfId="0" applyNumberFormat="1" applyFont="1" applyFill="1" applyBorder="1" applyAlignment="1" applyProtection="1">
      <alignment vertical="center"/>
      <protection locked="0"/>
    </xf>
    <xf numFmtId="1" fontId="4" fillId="0" borderId="18" xfId="1" applyNumberFormat="1" applyFont="1" applyBorder="1" applyAlignment="1">
      <alignment vertical="center"/>
    </xf>
    <xf numFmtId="1" fontId="4" fillId="0" borderId="19" xfId="1" applyNumberFormat="1" applyFont="1" applyBorder="1" applyAlignment="1">
      <alignment vertical="center"/>
    </xf>
    <xf numFmtId="1" fontId="4" fillId="0" borderId="13" xfId="1" applyNumberFormat="1" applyFont="1" applyBorder="1" applyAlignment="1">
      <alignment vertical="center"/>
    </xf>
    <xf numFmtId="9" fontId="11" fillId="2" borderId="0" xfId="2" applyFont="1" applyFill="1" applyAlignment="1" applyProtection="1">
      <alignment horizontal="center"/>
      <protection locked="0"/>
    </xf>
    <xf numFmtId="44" fontId="11" fillId="2" borderId="0" xfId="1" applyFont="1" applyFill="1" applyProtection="1">
      <protection locked="0"/>
    </xf>
    <xf numFmtId="0" fontId="30" fillId="0" borderId="0" xfId="0" applyFont="1" applyAlignment="1">
      <alignment horizontal="right" vertical="center"/>
    </xf>
    <xf numFmtId="1" fontId="15" fillId="2" borderId="0" xfId="0" applyNumberFormat="1" applyFont="1" applyFill="1" applyAlignment="1" applyProtection="1">
      <alignment vertical="center"/>
      <protection locked="0"/>
    </xf>
    <xf numFmtId="0" fontId="31" fillId="0" borderId="0" xfId="0" applyFont="1" applyAlignment="1">
      <alignment horizontal="center" vertical="center"/>
    </xf>
    <xf numFmtId="0" fontId="32" fillId="0" borderId="0" xfId="0" applyFont="1"/>
    <xf numFmtId="0" fontId="3" fillId="0" borderId="0" xfId="0" applyFont="1" applyAlignment="1">
      <alignment horizontal="left" vertical="top" wrapText="1"/>
    </xf>
    <xf numFmtId="0" fontId="3" fillId="5" borderId="0" xfId="0" applyFont="1" applyFill="1" applyBorder="1" applyAlignment="1">
      <alignment horizontal="left" vertical="center" wrapText="1"/>
    </xf>
    <xf numFmtId="1" fontId="4" fillId="0" borderId="13" xfId="0" applyNumberFormat="1" applyFont="1" applyBorder="1"/>
    <xf numFmtId="0" fontId="11" fillId="0" borderId="0" xfId="0" applyFont="1" applyFill="1"/>
    <xf numFmtId="0" fontId="3" fillId="0" borderId="0" xfId="0" quotePrefix="1" applyFont="1" applyFill="1"/>
    <xf numFmtId="0" fontId="3" fillId="0" borderId="0" xfId="0" applyFont="1" applyBorder="1" applyAlignment="1"/>
    <xf numFmtId="0" fontId="3" fillId="5" borderId="0" xfId="0" applyFont="1" applyFill="1" applyBorder="1" applyAlignment="1">
      <alignment horizontal="left" vertical="center" wrapText="1"/>
    </xf>
    <xf numFmtId="0" fontId="3" fillId="0" borderId="0" xfId="0" applyFont="1" applyAlignment="1"/>
    <xf numFmtId="0" fontId="3" fillId="5" borderId="0" xfId="0" applyFont="1" applyFill="1" applyBorder="1" applyAlignment="1">
      <alignment horizontal="left" vertical="center" wrapText="1"/>
    </xf>
    <xf numFmtId="1" fontId="3" fillId="0" borderId="0" xfId="0" applyNumberFormat="1" applyFont="1" applyBorder="1" applyAlignment="1">
      <alignment horizontal="left"/>
    </xf>
    <xf numFmtId="44" fontId="21" fillId="0" borderId="0" xfId="1" applyFont="1" applyAlignment="1">
      <alignment horizontal="center" vertical="center"/>
    </xf>
    <xf numFmtId="44" fontId="21" fillId="0" borderId="1" xfId="1" applyFont="1" applyBorder="1" applyAlignment="1">
      <alignment horizontal="center" vertical="center"/>
    </xf>
    <xf numFmtId="0" fontId="3" fillId="0" borderId="0" xfId="0" applyFont="1" applyFill="1" applyAlignment="1">
      <alignment horizontal="right"/>
    </xf>
    <xf numFmtId="0" fontId="3" fillId="0" borderId="0" xfId="0" applyFont="1" applyFill="1" applyAlignment="1"/>
    <xf numFmtId="0" fontId="15" fillId="0" borderId="0" xfId="0" applyFont="1" applyFill="1" applyAlignment="1" applyProtection="1">
      <alignment vertical="center"/>
      <protection locked="0"/>
    </xf>
    <xf numFmtId="0" fontId="3" fillId="0" borderId="0" xfId="0" applyFont="1" applyFill="1" applyAlignment="1">
      <alignment vertical="center"/>
    </xf>
    <xf numFmtId="0" fontId="3" fillId="0" borderId="0" xfId="0" applyFont="1" applyFill="1"/>
    <xf numFmtId="14" fontId="19" fillId="0" borderId="0" xfId="0" applyNumberFormat="1" applyFont="1" applyFill="1" applyBorder="1" applyAlignment="1">
      <alignment vertical="center"/>
    </xf>
    <xf numFmtId="0" fontId="21"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34" fillId="0" borderId="0" xfId="0" applyFont="1" applyAlignment="1">
      <alignment vertical="center"/>
    </xf>
    <xf numFmtId="44" fontId="33" fillId="0" borderId="0" xfId="0" applyNumberFormat="1" applyFont="1" applyAlignment="1">
      <alignment horizontal="right"/>
    </xf>
    <xf numFmtId="0" fontId="33" fillId="0" borderId="0" xfId="0" applyFont="1" applyAlignment="1">
      <alignment horizontal="right"/>
    </xf>
    <xf numFmtId="165" fontId="4" fillId="0" borderId="6" xfId="0" applyNumberFormat="1" applyFont="1" applyBorder="1"/>
    <xf numFmtId="0" fontId="10" fillId="0" borderId="0" xfId="0" applyFont="1"/>
    <xf numFmtId="9" fontId="21" fillId="0" borderId="0" xfId="0" applyNumberFormat="1" applyFont="1" applyAlignment="1">
      <alignment horizontal="right"/>
    </xf>
    <xf numFmtId="167" fontId="21" fillId="0" borderId="0" xfId="0" applyNumberFormat="1" applyFont="1" applyAlignment="1">
      <alignment horizontal="right"/>
    </xf>
    <xf numFmtId="44" fontId="21" fillId="0" borderId="1" xfId="1" applyFont="1" applyFill="1" applyBorder="1" applyAlignment="1">
      <alignment horizontal="center" vertical="center"/>
    </xf>
    <xf numFmtId="164" fontId="21" fillId="0" borderId="0" xfId="0" applyNumberFormat="1" applyFont="1" applyAlignment="1">
      <alignment horizontal="right"/>
    </xf>
    <xf numFmtId="0" fontId="3" fillId="0" borderId="0" xfId="0" applyFont="1" applyAlignment="1">
      <alignment vertical="top"/>
    </xf>
    <xf numFmtId="0" fontId="3" fillId="0" borderId="0" xfId="0" applyFont="1" applyAlignment="1">
      <alignment wrapText="1"/>
    </xf>
    <xf numFmtId="0" fontId="0" fillId="0" borderId="0" xfId="0" applyAlignment="1">
      <alignment wrapText="1"/>
    </xf>
    <xf numFmtId="0" fontId="3" fillId="0" borderId="0" xfId="0" applyFont="1" applyAlignment="1">
      <alignment horizontal="left" vertical="top" wrapText="1"/>
    </xf>
    <xf numFmtId="0" fontId="24" fillId="3" borderId="15" xfId="0" applyFont="1" applyFill="1" applyBorder="1" applyAlignment="1">
      <alignment vertical="center"/>
    </xf>
    <xf numFmtId="0" fontId="24" fillId="3" borderId="16" xfId="0" applyFont="1" applyFill="1" applyBorder="1" applyAlignment="1">
      <alignment vertical="center"/>
    </xf>
    <xf numFmtId="0" fontId="25" fillId="0" borderId="16" xfId="0" applyFont="1" applyBorder="1" applyAlignment="1"/>
    <xf numFmtId="0" fontId="22" fillId="0" borderId="17" xfId="0" applyFont="1" applyBorder="1" applyAlignment="1"/>
    <xf numFmtId="0" fontId="3" fillId="0" borderId="0" xfId="0" applyFont="1" applyAlignment="1">
      <alignment horizontal="left" vertical="top"/>
    </xf>
    <xf numFmtId="0" fontId="3" fillId="0" borderId="0" xfId="0" quotePrefix="1" applyFont="1" applyAlignment="1">
      <alignment wrapText="1"/>
    </xf>
    <xf numFmtId="0" fontId="3" fillId="0" borderId="0" xfId="0" applyFont="1" applyAlignment="1"/>
    <xf numFmtId="0" fontId="3" fillId="0" borderId="1" xfId="0" applyFont="1" applyBorder="1" applyAlignment="1"/>
    <xf numFmtId="0" fontId="0" fillId="0" borderId="1" xfId="0" applyBorder="1" applyAlignment="1"/>
    <xf numFmtId="0" fontId="11" fillId="4" borderId="0" xfId="0" applyFont="1" applyFill="1" applyBorder="1" applyAlignment="1" applyProtection="1">
      <alignment horizontal="left" vertical="center"/>
      <protection locked="0"/>
    </xf>
    <xf numFmtId="0" fontId="3" fillId="5" borderId="0" xfId="0" applyFont="1" applyFill="1" applyBorder="1" applyAlignment="1">
      <alignment horizontal="left" vertical="center" wrapText="1"/>
    </xf>
    <xf numFmtId="0" fontId="0" fillId="0" borderId="0" xfId="0" applyAlignment="1">
      <alignment horizontal="left" vertical="center" wrapText="1"/>
    </xf>
    <xf numFmtId="0" fontId="7" fillId="3" borderId="0" xfId="0" applyFont="1" applyFill="1" applyBorder="1" applyAlignment="1">
      <alignment vertical="center"/>
    </xf>
    <xf numFmtId="0" fontId="0" fillId="0" borderId="0" xfId="0" applyAlignment="1"/>
    <xf numFmtId="0" fontId="0" fillId="0" borderId="0" xfId="0" applyBorder="1" applyAlignment="1"/>
    <xf numFmtId="0" fontId="15" fillId="2" borderId="0" xfId="0" applyFont="1" applyFill="1" applyAlignment="1" applyProtection="1">
      <alignment horizontal="right" vertical="center"/>
      <protection locked="0"/>
    </xf>
    <xf numFmtId="0" fontId="11" fillId="0" borderId="0" xfId="0" applyFont="1" applyAlignment="1" applyProtection="1">
      <alignment vertical="center"/>
      <protection locked="0"/>
    </xf>
    <xf numFmtId="0" fontId="5" fillId="0" borderId="0" xfId="0" applyFont="1" applyBorder="1" applyAlignment="1">
      <alignment horizontal="center" vertical="center"/>
    </xf>
    <xf numFmtId="0" fontId="0" fillId="0" borderId="0" xfId="0" applyBorder="1" applyAlignment="1">
      <alignment horizontal="center" vertical="center"/>
    </xf>
    <xf numFmtId="0" fontId="15" fillId="2" borderId="0" xfId="0" applyFont="1" applyFill="1" applyAlignment="1" applyProtection="1">
      <alignment horizontal="right" vertical="top" wrapText="1"/>
      <protection locked="0"/>
    </xf>
    <xf numFmtId="0" fontId="11" fillId="0" borderId="0" xfId="0" applyFont="1" applyAlignment="1" applyProtection="1">
      <alignment vertical="top" wrapText="1"/>
      <protection locked="0"/>
    </xf>
    <xf numFmtId="0" fontId="11" fillId="0" borderId="0" xfId="0" applyFont="1" applyAlignment="1" applyProtection="1">
      <protection locked="0"/>
    </xf>
    <xf numFmtId="14" fontId="15" fillId="2" borderId="0" xfId="0" applyNumberFormat="1" applyFont="1" applyFill="1" applyAlignment="1" applyProtection="1">
      <alignment horizontal="right" vertical="center"/>
      <protection locked="0"/>
    </xf>
    <xf numFmtId="1" fontId="15" fillId="0" borderId="0" xfId="0" applyNumberFormat="1" applyFont="1" applyFill="1" applyAlignment="1">
      <alignment horizontal="right" vertical="center"/>
    </xf>
    <xf numFmtId="0" fontId="0" fillId="0" borderId="0" xfId="0" applyAlignment="1">
      <alignment vertical="center"/>
    </xf>
    <xf numFmtId="0" fontId="21" fillId="0" borderId="0" xfId="0" applyFont="1" applyFill="1" applyAlignment="1">
      <alignment vertical="center"/>
    </xf>
    <xf numFmtId="0" fontId="11" fillId="0" borderId="0" xfId="0" applyFont="1" applyFill="1" applyBorder="1" applyAlignment="1">
      <alignment vertical="center"/>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3" fontId="21" fillId="0" borderId="0" xfId="0" applyNumberFormat="1" applyFont="1" applyFill="1" applyAlignment="1">
      <alignment horizontal="right"/>
    </xf>
    <xf numFmtId="0" fontId="19" fillId="0" borderId="0" xfId="0" applyFont="1" applyAlignment="1">
      <alignment horizontal="left"/>
    </xf>
    <xf numFmtId="0" fontId="21" fillId="0" borderId="0" xfId="0" applyFont="1" applyAlignment="1"/>
    <xf numFmtId="0" fontId="21" fillId="2" borderId="0" xfId="0" applyFont="1" applyFill="1" applyAlignment="1">
      <alignment vertical="center"/>
    </xf>
  </cellXfs>
  <cellStyles count="8">
    <cellStyle name="Normal 2" xfId="4"/>
    <cellStyle name="Normal 3" xfId="6"/>
    <cellStyle name="Procent" xfId="2" builtinId="5"/>
    <cellStyle name="Procent 2" xfId="5"/>
    <cellStyle name="Standaard" xfId="0" builtinId="0"/>
    <cellStyle name="Standaard 2" xfId="3"/>
    <cellStyle name="Standaard 3" xfId="7"/>
    <cellStyle name="Valuta" xfId="1"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2" defaultPivotStyle="PivotStyleLight16"/>
  <colors>
    <mruColors>
      <color rgb="FFFFC7CE"/>
      <color rgb="FF9C00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1180465</xdr:colOff>
      <xdr:row>0</xdr:row>
      <xdr:rowOff>788247</xdr:rowOff>
    </xdr:to>
    <xdr:pic>
      <xdr:nvPicPr>
        <xdr:cNvPr id="2" name="Afbeelding 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180465" cy="788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1180465</xdr:colOff>
      <xdr:row>0</xdr:row>
      <xdr:rowOff>788247</xdr:rowOff>
    </xdr:to>
    <xdr:pic>
      <xdr:nvPicPr>
        <xdr:cNvPr id="4" name="Afbeelding 3"/>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180465" cy="797772"/>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otaris.be/" TargetMode="External"/><Relationship Id="rId1" Type="http://schemas.openxmlformats.org/officeDocument/2006/relationships/hyperlink" Target="http://www.notaris.b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M91"/>
  <sheetViews>
    <sheetView workbookViewId="0">
      <selection activeCell="F17" sqref="F17:K17"/>
    </sheetView>
  </sheetViews>
  <sheetFormatPr defaultRowHeight="15"/>
  <cols>
    <col min="3" max="3" width="3.42578125" customWidth="1"/>
    <col min="4" max="4" width="5.5703125" customWidth="1"/>
    <col min="5" max="5" width="36.140625" customWidth="1"/>
    <col min="6" max="10" width="13.28515625" customWidth="1"/>
    <col min="11" max="11" width="19.42578125" customWidth="1"/>
  </cols>
  <sheetData>
    <row r="1" spans="2:13" ht="15.75" thickBot="1"/>
    <row r="2" spans="2:13" ht="27" thickBot="1">
      <c r="B2" s="183" t="s">
        <v>170</v>
      </c>
      <c r="C2" s="184"/>
      <c r="D2" s="184"/>
      <c r="E2" s="184"/>
      <c r="F2" s="184"/>
      <c r="G2" s="185"/>
      <c r="H2" s="185"/>
      <c r="I2" s="185"/>
      <c r="J2" s="185"/>
      <c r="K2" s="186"/>
    </row>
    <row r="4" spans="2:13" s="58" customFormat="1" ht="20.100000000000001" customHeight="1">
      <c r="B4" s="123" t="s">
        <v>175</v>
      </c>
      <c r="C4" s="119"/>
      <c r="D4" s="119"/>
      <c r="E4" s="119"/>
      <c r="F4" s="119"/>
      <c r="G4" s="119"/>
      <c r="H4" s="119"/>
      <c r="I4" s="119"/>
      <c r="J4" s="119"/>
      <c r="K4" s="119"/>
    </row>
    <row r="5" spans="2:13" s="120" customFormat="1" ht="12.75" customHeight="1">
      <c r="B5" s="122"/>
    </row>
    <row r="6" spans="2:13" ht="12.75" customHeight="1">
      <c r="B6" s="117" t="s">
        <v>116</v>
      </c>
      <c r="D6" t="s">
        <v>171</v>
      </c>
    </row>
    <row r="7" spans="2:13" ht="12.75" customHeight="1">
      <c r="B7" t="s">
        <v>172</v>
      </c>
      <c r="D7" t="s">
        <v>173</v>
      </c>
    </row>
    <row r="8" spans="2:13" s="58" customFormat="1" ht="12.75" customHeight="1"/>
    <row r="9" spans="2:13" ht="12.75" customHeight="1"/>
    <row r="10" spans="2:13" ht="20.100000000000001" customHeight="1">
      <c r="B10" s="123" t="s">
        <v>176</v>
      </c>
      <c r="C10" s="121"/>
      <c r="D10" s="121"/>
      <c r="E10" s="121"/>
      <c r="F10" s="121"/>
      <c r="G10" s="121"/>
      <c r="H10" s="121"/>
      <c r="I10" s="121"/>
      <c r="J10" s="121"/>
      <c r="K10" s="121"/>
    </row>
    <row r="11" spans="2:13" ht="12.75" customHeight="1"/>
    <row r="12" spans="2:13" ht="15.75" customHeight="1">
      <c r="C12" s="147" t="s">
        <v>174</v>
      </c>
    </row>
    <row r="13" spans="2:13" ht="12.75" customHeight="1"/>
    <row r="14" spans="2:13" ht="12.75" customHeight="1">
      <c r="D14" s="118" t="s">
        <v>189</v>
      </c>
      <c r="E14" s="118" t="str">
        <f>Algemeen!B2</f>
        <v>ALGEMENE INFO PROJECT</v>
      </c>
      <c r="F14" s="61"/>
      <c r="G14" s="61"/>
      <c r="H14" s="61"/>
      <c r="I14" s="61"/>
      <c r="J14" s="61"/>
      <c r="K14" s="61"/>
      <c r="L14" s="61"/>
      <c r="M14" s="61"/>
    </row>
    <row r="15" spans="2:13" ht="12.75" customHeight="1">
      <c r="D15" s="179" t="s">
        <v>0</v>
      </c>
      <c r="E15" s="179"/>
      <c r="F15" s="180" t="s">
        <v>177</v>
      </c>
      <c r="G15" s="181"/>
      <c r="H15" s="181"/>
      <c r="I15" s="181"/>
      <c r="J15" s="181"/>
      <c r="K15" s="181"/>
      <c r="L15" s="61"/>
      <c r="M15" s="61"/>
    </row>
    <row r="16" spans="2:13" ht="12.75" customHeight="1">
      <c r="D16" s="179" t="s">
        <v>2</v>
      </c>
      <c r="E16" s="179"/>
      <c r="F16" s="180" t="s">
        <v>178</v>
      </c>
      <c r="G16" s="181"/>
      <c r="H16" s="181"/>
      <c r="I16" s="181"/>
      <c r="J16" s="181"/>
      <c r="K16" s="181"/>
      <c r="L16" s="61"/>
      <c r="M16" s="61"/>
    </row>
    <row r="17" spans="4:13" ht="27" customHeight="1">
      <c r="D17" s="179" t="s">
        <v>3</v>
      </c>
      <c r="E17" s="179"/>
      <c r="F17" s="180" t="s">
        <v>179</v>
      </c>
      <c r="G17" s="181"/>
      <c r="H17" s="181"/>
      <c r="I17" s="181"/>
      <c r="J17" s="181"/>
      <c r="K17" s="181"/>
      <c r="L17" s="61"/>
      <c r="M17" s="61"/>
    </row>
    <row r="18" spans="4:13" ht="12.75" customHeight="1">
      <c r="D18" s="179" t="s">
        <v>101</v>
      </c>
      <c r="E18" s="179"/>
      <c r="F18" s="180" t="s">
        <v>278</v>
      </c>
      <c r="G18" s="181"/>
      <c r="H18" s="181"/>
      <c r="I18" s="181"/>
      <c r="J18" s="181"/>
      <c r="K18" s="181"/>
      <c r="L18" s="61"/>
      <c r="M18" s="61"/>
    </row>
    <row r="19" spans="4:13" ht="12.75" customHeight="1">
      <c r="D19" s="179" t="s">
        <v>107</v>
      </c>
      <c r="E19" s="179"/>
      <c r="F19" s="180" t="s">
        <v>180</v>
      </c>
      <c r="G19" s="181"/>
      <c r="H19" s="181"/>
      <c r="I19" s="181"/>
      <c r="J19" s="181"/>
      <c r="K19" s="181"/>
      <c r="L19" s="61"/>
      <c r="M19" s="61"/>
    </row>
    <row r="20" spans="4:13" ht="12.75" customHeight="1">
      <c r="D20" s="179" t="s">
        <v>149</v>
      </c>
      <c r="E20" s="179"/>
      <c r="F20" s="180" t="s">
        <v>181</v>
      </c>
      <c r="G20" s="181"/>
      <c r="H20" s="181"/>
      <c r="I20" s="181"/>
      <c r="J20" s="181"/>
      <c r="K20" s="181"/>
      <c r="L20" s="61"/>
      <c r="M20" s="61"/>
    </row>
    <row r="21" spans="4:13" ht="23.25" customHeight="1">
      <c r="D21" s="179" t="s">
        <v>165</v>
      </c>
      <c r="E21" s="179"/>
      <c r="F21" s="180" t="s">
        <v>182</v>
      </c>
      <c r="G21" s="181"/>
      <c r="H21" s="181"/>
      <c r="I21" s="181"/>
      <c r="J21" s="181"/>
      <c r="K21" s="181"/>
      <c r="L21" s="61"/>
      <c r="M21" s="61"/>
    </row>
    <row r="22" spans="4:13" ht="12.75" customHeight="1">
      <c r="D22" s="179" t="s">
        <v>164</v>
      </c>
      <c r="E22" s="179"/>
      <c r="F22" s="180" t="s">
        <v>183</v>
      </c>
      <c r="G22" s="181"/>
      <c r="H22" s="181"/>
      <c r="I22" s="181"/>
      <c r="J22" s="181"/>
      <c r="K22" s="181"/>
      <c r="L22" s="61"/>
      <c r="M22" s="61"/>
    </row>
    <row r="23" spans="4:13" ht="40.5" customHeight="1">
      <c r="D23" s="179" t="s">
        <v>102</v>
      </c>
      <c r="E23" s="179"/>
      <c r="F23" s="180" t="s">
        <v>184</v>
      </c>
      <c r="G23" s="181"/>
      <c r="H23" s="181"/>
      <c r="I23" s="181"/>
      <c r="J23" s="181"/>
      <c r="K23" s="181"/>
      <c r="L23" s="61"/>
      <c r="M23" s="61"/>
    </row>
    <row r="24" spans="4:13" ht="12.75" customHeight="1">
      <c r="D24" s="179" t="s">
        <v>1</v>
      </c>
      <c r="E24" s="179"/>
      <c r="F24" s="180" t="s">
        <v>185</v>
      </c>
      <c r="G24" s="181"/>
      <c r="H24" s="181"/>
      <c r="I24" s="181"/>
      <c r="J24" s="181"/>
      <c r="K24" s="181"/>
      <c r="L24" s="61"/>
      <c r="M24" s="61"/>
    </row>
    <row r="25" spans="4:13" ht="12.75" customHeight="1">
      <c r="D25" s="179"/>
      <c r="E25" s="179"/>
      <c r="F25" s="126"/>
      <c r="G25" s="126"/>
      <c r="H25" s="126"/>
      <c r="I25" s="126"/>
      <c r="J25" s="126"/>
      <c r="K25" s="126"/>
      <c r="L25" s="61"/>
      <c r="M25" s="61"/>
    </row>
    <row r="26" spans="4:13" ht="12.75" customHeight="1">
      <c r="D26" s="179" t="s">
        <v>155</v>
      </c>
      <c r="E26" s="179"/>
      <c r="F26" s="180" t="s">
        <v>186</v>
      </c>
      <c r="G26" s="181"/>
      <c r="H26" s="181"/>
      <c r="I26" s="181"/>
      <c r="J26" s="181"/>
      <c r="K26" s="181"/>
      <c r="L26" s="61"/>
      <c r="M26" s="61"/>
    </row>
    <row r="27" spans="4:13" ht="12.75" customHeight="1">
      <c r="D27" s="179" t="s">
        <v>151</v>
      </c>
      <c r="E27" s="179"/>
      <c r="F27" s="180" t="s">
        <v>187</v>
      </c>
      <c r="G27" s="181"/>
      <c r="H27" s="181"/>
      <c r="I27" s="181"/>
      <c r="J27" s="181"/>
      <c r="K27" s="181"/>
      <c r="L27" s="61"/>
      <c r="M27" s="61"/>
    </row>
    <row r="28" spans="4:13" ht="40.5" customHeight="1">
      <c r="D28" s="179" t="s">
        <v>152</v>
      </c>
      <c r="E28" s="179"/>
      <c r="F28" s="180" t="s">
        <v>188</v>
      </c>
      <c r="G28" s="181"/>
      <c r="H28" s="181"/>
      <c r="I28" s="181"/>
      <c r="J28" s="181"/>
      <c r="K28" s="181"/>
      <c r="L28" s="61"/>
      <c r="M28" s="61"/>
    </row>
    <row r="29" spans="4:13" s="58" customFormat="1" ht="12.75" customHeight="1">
      <c r="D29" s="125"/>
      <c r="E29" s="125"/>
      <c r="F29" s="126"/>
      <c r="G29" s="124"/>
      <c r="H29" s="124"/>
      <c r="I29" s="124"/>
      <c r="J29" s="124"/>
      <c r="K29" s="124"/>
      <c r="L29" s="61"/>
      <c r="M29" s="61"/>
    </row>
    <row r="30" spans="4:13" s="58" customFormat="1" ht="24.95" customHeight="1">
      <c r="D30" s="179" t="s">
        <v>190</v>
      </c>
      <c r="E30" s="179"/>
      <c r="F30" s="180" t="s">
        <v>198</v>
      </c>
      <c r="G30" s="181"/>
      <c r="H30" s="181"/>
      <c r="I30" s="181"/>
      <c r="J30" s="181"/>
      <c r="K30" s="181"/>
      <c r="L30" s="61"/>
      <c r="M30" s="61"/>
    </row>
    <row r="31" spans="4:13" s="58" customFormat="1" ht="24.95" customHeight="1">
      <c r="D31" s="179" t="s">
        <v>191</v>
      </c>
      <c r="E31" s="179"/>
      <c r="F31" s="180" t="s">
        <v>199</v>
      </c>
      <c r="G31" s="181"/>
      <c r="H31" s="181"/>
      <c r="I31" s="181"/>
      <c r="J31" s="181"/>
      <c r="K31" s="181"/>
      <c r="L31" s="61"/>
      <c r="M31" s="61"/>
    </row>
    <row r="32" spans="4:13" s="58" customFormat="1" ht="24.95" customHeight="1">
      <c r="D32" s="179" t="s">
        <v>32</v>
      </c>
      <c r="E32" s="179"/>
      <c r="F32" s="180" t="s">
        <v>200</v>
      </c>
      <c r="G32" s="181"/>
      <c r="H32" s="181"/>
      <c r="I32" s="181"/>
      <c r="J32" s="181"/>
      <c r="K32" s="181"/>
      <c r="L32" s="61"/>
      <c r="M32" s="61"/>
    </row>
    <row r="33" spans="4:13" s="58" customFormat="1" ht="24.95" customHeight="1">
      <c r="D33" s="179" t="s">
        <v>195</v>
      </c>
      <c r="E33" s="179"/>
      <c r="F33" s="180" t="s">
        <v>239</v>
      </c>
      <c r="G33" s="181"/>
      <c r="H33" s="181"/>
      <c r="I33" s="181"/>
      <c r="J33" s="181"/>
      <c r="K33" s="181"/>
      <c r="L33" s="61"/>
      <c r="M33" s="61"/>
    </row>
    <row r="34" spans="4:13" s="58" customFormat="1" ht="24.95" customHeight="1">
      <c r="D34" s="179" t="s">
        <v>196</v>
      </c>
      <c r="E34" s="179"/>
      <c r="F34" s="180" t="s">
        <v>202</v>
      </c>
      <c r="G34" s="181"/>
      <c r="H34" s="181"/>
      <c r="I34" s="181"/>
      <c r="J34" s="181"/>
      <c r="K34" s="181"/>
      <c r="L34" s="61"/>
      <c r="M34" s="61"/>
    </row>
    <row r="35" spans="4:13" s="58" customFormat="1" ht="24.95" customHeight="1">
      <c r="D35" s="179" t="s">
        <v>99</v>
      </c>
      <c r="E35" s="179"/>
      <c r="F35" s="180" t="s">
        <v>227</v>
      </c>
      <c r="G35" s="181"/>
      <c r="H35" s="181"/>
      <c r="I35" s="181"/>
      <c r="J35" s="181"/>
      <c r="K35" s="181"/>
      <c r="L35" s="61"/>
      <c r="M35" s="61"/>
    </row>
    <row r="36" spans="4:13" s="58" customFormat="1" ht="12.75" customHeight="1">
      <c r="D36" s="125"/>
      <c r="E36" s="125"/>
      <c r="F36" s="126"/>
      <c r="G36" s="124"/>
      <c r="H36" s="124"/>
      <c r="I36" s="124"/>
      <c r="J36" s="124"/>
      <c r="K36" s="124"/>
      <c r="L36" s="61"/>
      <c r="M36" s="61"/>
    </row>
    <row r="37" spans="4:13" ht="12.75" customHeight="1">
      <c r="D37" s="61"/>
      <c r="E37" s="61"/>
      <c r="F37" s="61"/>
      <c r="G37" s="61"/>
      <c r="H37" s="61"/>
      <c r="I37" s="61"/>
      <c r="J37" s="61"/>
      <c r="K37" s="61"/>
      <c r="L37" s="61"/>
      <c r="M37" s="61"/>
    </row>
    <row r="38" spans="4:13" ht="12.75" customHeight="1">
      <c r="D38" s="118" t="s">
        <v>189</v>
      </c>
      <c r="E38" s="118" t="str">
        <f>Algemeen!B31</f>
        <v>OPPERVLAKTES</v>
      </c>
      <c r="F38" s="61"/>
      <c r="G38" s="61"/>
      <c r="H38" s="61"/>
      <c r="I38" s="61"/>
      <c r="J38" s="61"/>
      <c r="K38" s="61"/>
      <c r="L38" s="61"/>
      <c r="M38" s="61"/>
    </row>
    <row r="39" spans="4:13" s="58" customFormat="1" ht="12.75" customHeight="1">
      <c r="D39" s="179" t="s">
        <v>167</v>
      </c>
      <c r="E39" s="179"/>
      <c r="F39" s="61" t="s">
        <v>219</v>
      </c>
      <c r="G39" s="61"/>
      <c r="H39" s="61"/>
      <c r="I39" s="61"/>
      <c r="J39" s="61"/>
      <c r="K39" s="61"/>
      <c r="L39" s="61"/>
      <c r="M39" s="61"/>
    </row>
    <row r="40" spans="4:13" ht="66.75" customHeight="1">
      <c r="D40" s="179" t="s">
        <v>201</v>
      </c>
      <c r="E40" s="179"/>
      <c r="F40" s="188" t="s">
        <v>203</v>
      </c>
      <c r="G40" s="181"/>
      <c r="H40" s="181"/>
      <c r="I40" s="181"/>
      <c r="J40" s="181"/>
      <c r="K40" s="181"/>
      <c r="L40" s="61"/>
      <c r="M40" s="61"/>
    </row>
    <row r="41" spans="4:13" ht="40.5" customHeight="1">
      <c r="D41" s="179" t="s">
        <v>22</v>
      </c>
      <c r="E41" s="179"/>
      <c r="F41" s="180" t="s">
        <v>204</v>
      </c>
      <c r="G41" s="181"/>
      <c r="H41" s="181"/>
      <c r="I41" s="181"/>
      <c r="J41" s="181"/>
      <c r="K41" s="181"/>
      <c r="L41" s="61"/>
      <c r="M41" s="61"/>
    </row>
    <row r="42" spans="4:13" ht="38.25" customHeight="1">
      <c r="D42" s="179" t="s">
        <v>23</v>
      </c>
      <c r="E42" s="179"/>
      <c r="F42" s="180" t="s">
        <v>205</v>
      </c>
      <c r="G42" s="181"/>
      <c r="H42" s="181"/>
      <c r="I42" s="181"/>
      <c r="J42" s="181"/>
      <c r="K42" s="181"/>
      <c r="L42" s="61"/>
      <c r="M42" s="61"/>
    </row>
    <row r="43" spans="4:13" ht="27" customHeight="1">
      <c r="D43" s="179" t="s">
        <v>166</v>
      </c>
      <c r="E43" s="179"/>
      <c r="F43" s="180" t="s">
        <v>206</v>
      </c>
      <c r="G43" s="181"/>
      <c r="H43" s="181"/>
      <c r="I43" s="181"/>
      <c r="J43" s="181"/>
      <c r="K43" s="181"/>
      <c r="L43" s="61"/>
      <c r="M43" s="61"/>
    </row>
    <row r="44" spans="4:13" ht="38.25" customHeight="1">
      <c r="D44" s="179" t="s">
        <v>38</v>
      </c>
      <c r="E44" s="179"/>
      <c r="F44" s="180" t="s">
        <v>207</v>
      </c>
      <c r="G44" s="181"/>
      <c r="H44" s="181"/>
      <c r="I44" s="181"/>
      <c r="J44" s="181"/>
      <c r="K44" s="181"/>
      <c r="L44" s="61"/>
      <c r="M44" s="61"/>
    </row>
    <row r="45" spans="4:13" ht="24.75" customHeight="1">
      <c r="D45" s="179" t="s">
        <v>104</v>
      </c>
      <c r="E45" s="179"/>
      <c r="F45" s="180" t="s">
        <v>208</v>
      </c>
      <c r="G45" s="181"/>
      <c r="H45" s="181"/>
      <c r="I45" s="181"/>
      <c r="J45" s="181"/>
      <c r="K45" s="181"/>
      <c r="L45" s="61"/>
      <c r="M45" s="61"/>
    </row>
    <row r="46" spans="4:13" ht="12.75" customHeight="1">
      <c r="D46" s="179"/>
      <c r="E46" s="179"/>
      <c r="F46" s="180"/>
      <c r="G46" s="181"/>
      <c r="H46" s="181"/>
      <c r="I46" s="181"/>
      <c r="J46" s="181"/>
      <c r="K46" s="181"/>
      <c r="L46" s="61"/>
      <c r="M46" s="61"/>
    </row>
    <row r="47" spans="4:13" ht="12.75" customHeight="1">
      <c r="D47" s="118" t="s">
        <v>189</v>
      </c>
      <c r="E47" s="118" t="str">
        <f>Algemeen!B69</f>
        <v>AANNAMES</v>
      </c>
      <c r="F47" s="61"/>
      <c r="G47" s="61"/>
      <c r="H47" s="61"/>
      <c r="I47" s="61"/>
      <c r="J47" s="61"/>
      <c r="K47" s="61"/>
      <c r="L47" s="61"/>
      <c r="M47" s="61"/>
    </row>
    <row r="48" spans="4:13" s="58" customFormat="1" ht="51.75" customHeight="1">
      <c r="D48" s="182" t="s">
        <v>221</v>
      </c>
      <c r="E48" s="182"/>
      <c r="F48" s="182"/>
      <c r="G48" s="182"/>
      <c r="H48" s="182"/>
      <c r="I48" s="182"/>
      <c r="J48" s="182"/>
      <c r="K48" s="182"/>
      <c r="L48" s="61"/>
      <c r="M48" s="61"/>
    </row>
    <row r="49" spans="3:13" s="58" customFormat="1" ht="12.75" customHeight="1">
      <c r="D49" s="61"/>
      <c r="E49" s="61"/>
      <c r="F49" s="61"/>
      <c r="G49" s="61"/>
      <c r="H49" s="61"/>
      <c r="I49" s="61"/>
      <c r="J49" s="61"/>
      <c r="K49" s="61"/>
      <c r="L49" s="61"/>
      <c r="M49" s="61"/>
    </row>
    <row r="50" spans="3:13" ht="39" customHeight="1">
      <c r="D50" s="187" t="s">
        <v>54</v>
      </c>
      <c r="E50" s="187"/>
      <c r="F50" s="180" t="s">
        <v>220</v>
      </c>
      <c r="G50" s="181"/>
      <c r="H50" s="181"/>
      <c r="I50" s="181"/>
      <c r="J50" s="181"/>
      <c r="K50" s="181"/>
      <c r="L50" s="61"/>
      <c r="M50" s="61"/>
    </row>
    <row r="51" spans="3:13" ht="63" customHeight="1">
      <c r="D51" s="187" t="s">
        <v>55</v>
      </c>
      <c r="E51" s="187"/>
      <c r="F51" s="180" t="s">
        <v>222</v>
      </c>
      <c r="G51" s="181"/>
      <c r="H51" s="181"/>
      <c r="I51" s="181"/>
      <c r="J51" s="181"/>
      <c r="K51" s="181"/>
      <c r="L51" s="61"/>
      <c r="M51" s="61"/>
    </row>
    <row r="52" spans="3:13" ht="25.5" customHeight="1">
      <c r="D52" s="187" t="s">
        <v>56</v>
      </c>
      <c r="E52" s="187"/>
      <c r="F52" s="180" t="s">
        <v>223</v>
      </c>
      <c r="G52" s="181"/>
      <c r="H52" s="181"/>
      <c r="I52" s="181"/>
      <c r="J52" s="181"/>
      <c r="K52" s="181"/>
    </row>
    <row r="53" spans="3:13" ht="27" customHeight="1">
      <c r="D53" s="187" t="s">
        <v>63</v>
      </c>
      <c r="E53" s="187"/>
      <c r="F53" s="180" t="s">
        <v>224</v>
      </c>
      <c r="G53" s="181"/>
      <c r="H53" s="181"/>
      <c r="I53" s="181"/>
      <c r="J53" s="181"/>
      <c r="K53" s="181"/>
    </row>
    <row r="54" spans="3:13" ht="50.25" customHeight="1">
      <c r="D54" s="187" t="s">
        <v>58</v>
      </c>
      <c r="E54" s="187"/>
      <c r="F54" s="180" t="s">
        <v>226</v>
      </c>
      <c r="G54" s="181"/>
      <c r="H54" s="181"/>
      <c r="I54" s="181"/>
      <c r="J54" s="181"/>
      <c r="K54" s="181"/>
    </row>
    <row r="55" spans="3:13" ht="12.75" customHeight="1">
      <c r="D55" s="187" t="s">
        <v>60</v>
      </c>
      <c r="E55" s="187"/>
      <c r="F55" s="180" t="s">
        <v>225</v>
      </c>
      <c r="G55" s="181"/>
      <c r="H55" s="181"/>
      <c r="I55" s="181"/>
      <c r="J55" s="181"/>
      <c r="K55" s="181"/>
    </row>
    <row r="56" spans="3:13" ht="12.75" customHeight="1">
      <c r="D56" s="179"/>
      <c r="E56" s="179"/>
      <c r="F56" s="180"/>
      <c r="G56" s="181"/>
      <c r="H56" s="181"/>
      <c r="I56" s="181"/>
      <c r="J56" s="181"/>
      <c r="K56" s="181"/>
    </row>
    <row r="57" spans="3:13" ht="12.75" customHeight="1"/>
    <row r="58" spans="3:13" ht="15.75" customHeight="1">
      <c r="C58" s="147" t="s">
        <v>231</v>
      </c>
      <c r="D58" s="58"/>
      <c r="E58" s="58"/>
      <c r="F58" s="58"/>
      <c r="G58" s="58"/>
      <c r="H58" s="58"/>
      <c r="I58" s="58"/>
      <c r="J58" s="58"/>
      <c r="K58" s="58"/>
    </row>
    <row r="59" spans="3:13" ht="12.75" customHeight="1">
      <c r="C59" s="58"/>
      <c r="D59" s="58"/>
      <c r="E59" s="58"/>
      <c r="F59" s="58"/>
      <c r="G59" s="58"/>
      <c r="H59" s="58"/>
      <c r="I59" s="58"/>
      <c r="J59" s="58"/>
      <c r="K59" s="58"/>
    </row>
    <row r="60" spans="3:13" s="58" customFormat="1" ht="51.75" customHeight="1">
      <c r="D60" s="182" t="s">
        <v>229</v>
      </c>
      <c r="E60" s="182"/>
      <c r="F60" s="182"/>
      <c r="G60" s="182"/>
      <c r="H60" s="182"/>
      <c r="I60" s="182"/>
      <c r="J60" s="182"/>
      <c r="K60" s="182"/>
    </row>
    <row r="61" spans="3:13" s="58" customFormat="1" ht="12.75" customHeight="1"/>
    <row r="62" spans="3:13" ht="39.75" customHeight="1">
      <c r="C62" s="58"/>
      <c r="D62" s="182" t="s">
        <v>230</v>
      </c>
      <c r="E62" s="182"/>
      <c r="F62" s="182"/>
      <c r="G62" s="182"/>
      <c r="H62" s="182"/>
      <c r="I62" s="182"/>
      <c r="J62" s="182"/>
      <c r="K62" s="182"/>
    </row>
    <row r="63" spans="3:13" s="58" customFormat="1" ht="13.5" customHeight="1">
      <c r="D63" s="148"/>
      <c r="E63" s="148"/>
      <c r="F63" s="148"/>
      <c r="G63" s="148"/>
      <c r="H63" s="148"/>
      <c r="I63" s="148"/>
      <c r="J63" s="148"/>
      <c r="K63" s="148"/>
    </row>
    <row r="64" spans="3:13" ht="12.75" customHeight="1">
      <c r="C64" s="58"/>
      <c r="D64" s="179"/>
      <c r="E64" s="179"/>
      <c r="F64" s="180"/>
      <c r="G64" s="181"/>
      <c r="H64" s="181"/>
      <c r="I64" s="181"/>
      <c r="J64" s="181"/>
      <c r="K64" s="181"/>
    </row>
    <row r="65" spans="3:11" ht="15.75" customHeight="1">
      <c r="C65" s="147" t="s">
        <v>232</v>
      </c>
      <c r="D65" s="58"/>
      <c r="E65" s="58"/>
      <c r="F65" s="58"/>
      <c r="G65" s="58"/>
      <c r="H65" s="58"/>
      <c r="I65" s="58"/>
      <c r="J65" s="58"/>
      <c r="K65" s="58"/>
    </row>
    <row r="66" spans="3:11" ht="12.75" customHeight="1">
      <c r="C66" s="58"/>
      <c r="D66" s="58"/>
      <c r="E66" s="58"/>
      <c r="F66" s="58"/>
      <c r="G66" s="58"/>
      <c r="H66" s="58"/>
      <c r="I66" s="58"/>
      <c r="J66" s="58"/>
      <c r="K66" s="58"/>
    </row>
    <row r="67" spans="3:11" ht="12.75" customHeight="1">
      <c r="C67" s="58"/>
      <c r="D67" s="118" t="s">
        <v>189</v>
      </c>
      <c r="E67" s="118" t="s">
        <v>115</v>
      </c>
      <c r="F67" s="61"/>
      <c r="G67" s="61"/>
      <c r="H67" s="61"/>
      <c r="I67" s="61"/>
      <c r="J67" s="61"/>
      <c r="K67" s="61"/>
    </row>
    <row r="68" spans="3:11" ht="12.75" customHeight="1">
      <c r="C68" s="58"/>
      <c r="D68" s="182" t="s">
        <v>236</v>
      </c>
      <c r="E68" s="182"/>
      <c r="F68" s="182"/>
      <c r="G68" s="182"/>
      <c r="H68" s="182"/>
      <c r="I68" s="182"/>
      <c r="J68" s="182"/>
      <c r="K68" s="182"/>
    </row>
    <row r="69" spans="3:11" ht="12.75" customHeight="1">
      <c r="C69" s="58"/>
      <c r="D69" s="182"/>
      <c r="E69" s="182"/>
      <c r="F69" s="182"/>
      <c r="G69" s="182"/>
      <c r="H69" s="182"/>
      <c r="I69" s="182"/>
      <c r="J69" s="182"/>
      <c r="K69" s="182"/>
    </row>
    <row r="70" spans="3:11" ht="12.75" customHeight="1">
      <c r="C70" s="58"/>
      <c r="D70" s="182"/>
      <c r="E70" s="182"/>
      <c r="F70" s="182"/>
      <c r="G70" s="182"/>
      <c r="H70" s="182"/>
      <c r="I70" s="182"/>
      <c r="J70" s="182"/>
      <c r="K70" s="182"/>
    </row>
    <row r="71" spans="3:11" ht="52.5" customHeight="1">
      <c r="C71" s="58"/>
      <c r="D71" s="182"/>
      <c r="E71" s="182"/>
      <c r="F71" s="182"/>
      <c r="G71" s="182"/>
      <c r="H71" s="182"/>
      <c r="I71" s="182"/>
      <c r="J71" s="182"/>
      <c r="K71" s="182"/>
    </row>
    <row r="72" spans="3:11" ht="12.75" customHeight="1">
      <c r="C72" s="58"/>
      <c r="D72" s="179"/>
      <c r="E72" s="179"/>
      <c r="F72" s="180"/>
      <c r="G72" s="181"/>
      <c r="H72" s="181"/>
      <c r="I72" s="181"/>
      <c r="J72" s="181"/>
      <c r="K72" s="181"/>
    </row>
    <row r="73" spans="3:11" ht="12.75" customHeight="1">
      <c r="C73" s="58"/>
      <c r="D73" s="182" t="s">
        <v>237</v>
      </c>
      <c r="E73" s="182"/>
      <c r="F73" s="182"/>
      <c r="G73" s="182"/>
      <c r="H73" s="182"/>
      <c r="I73" s="182"/>
      <c r="J73" s="182"/>
      <c r="K73" s="182"/>
    </row>
    <row r="74" spans="3:11" ht="27.75" customHeight="1">
      <c r="D74" s="182"/>
      <c r="E74" s="182"/>
      <c r="F74" s="182"/>
      <c r="G74" s="182"/>
      <c r="H74" s="182"/>
      <c r="I74" s="182"/>
      <c r="J74" s="182"/>
      <c r="K74" s="182"/>
    </row>
    <row r="75" spans="3:11" ht="12.75" customHeight="1"/>
    <row r="76" spans="3:11" ht="12.75" customHeight="1"/>
    <row r="77" spans="3:11" ht="12.75" customHeight="1"/>
    <row r="78" spans="3:11" ht="12.75" customHeight="1"/>
    <row r="79" spans="3:11" ht="12.75" customHeight="1"/>
    <row r="80" spans="3: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sheetData>
  <sheetProtection password="CA49" sheet="1" objects="1" scenarios="1"/>
  <mergeCells count="78">
    <mergeCell ref="D60:K60"/>
    <mergeCell ref="D35:E35"/>
    <mergeCell ref="F35:K35"/>
    <mergeCell ref="D55:E55"/>
    <mergeCell ref="F55:K55"/>
    <mergeCell ref="D56:E56"/>
    <mergeCell ref="F56:K56"/>
    <mergeCell ref="D48:K48"/>
    <mergeCell ref="F50:K50"/>
    <mergeCell ref="D52:E52"/>
    <mergeCell ref="F52:K52"/>
    <mergeCell ref="D53:E53"/>
    <mergeCell ref="F53:K53"/>
    <mergeCell ref="D54:E54"/>
    <mergeCell ref="F54:K54"/>
    <mergeCell ref="D50:E50"/>
    <mergeCell ref="D51:E51"/>
    <mergeCell ref="F51:K51"/>
    <mergeCell ref="D39:E39"/>
    <mergeCell ref="D46:E46"/>
    <mergeCell ref="F46:K46"/>
    <mergeCell ref="D43:E43"/>
    <mergeCell ref="F43:K43"/>
    <mergeCell ref="D44:E44"/>
    <mergeCell ref="F44:K44"/>
    <mergeCell ref="D45:E45"/>
    <mergeCell ref="F45:K45"/>
    <mergeCell ref="D40:E40"/>
    <mergeCell ref="F40:K40"/>
    <mergeCell ref="D41:E41"/>
    <mergeCell ref="F41:K41"/>
    <mergeCell ref="D42:E42"/>
    <mergeCell ref="F42:K42"/>
    <mergeCell ref="D34:E34"/>
    <mergeCell ref="F31:K31"/>
    <mergeCell ref="F32:K32"/>
    <mergeCell ref="F33:K33"/>
    <mergeCell ref="F34:K34"/>
    <mergeCell ref="F30:K30"/>
    <mergeCell ref="D30:E30"/>
    <mergeCell ref="D31:E31"/>
    <mergeCell ref="D32:E32"/>
    <mergeCell ref="D33:E33"/>
    <mergeCell ref="B2:K2"/>
    <mergeCell ref="D15:E15"/>
    <mergeCell ref="D16:E16"/>
    <mergeCell ref="D17:E17"/>
    <mergeCell ref="D18:E18"/>
    <mergeCell ref="D25:E25"/>
    <mergeCell ref="D26:E26"/>
    <mergeCell ref="D27:E27"/>
    <mergeCell ref="D28:E28"/>
    <mergeCell ref="F15:K15"/>
    <mergeCell ref="F16:K16"/>
    <mergeCell ref="F17:K17"/>
    <mergeCell ref="F18:K18"/>
    <mergeCell ref="F19:K19"/>
    <mergeCell ref="F20:K20"/>
    <mergeCell ref="D19:E19"/>
    <mergeCell ref="D20:E20"/>
    <mergeCell ref="D21:E21"/>
    <mergeCell ref="D22:E22"/>
    <mergeCell ref="D23:E23"/>
    <mergeCell ref="D24:E24"/>
    <mergeCell ref="F28:K28"/>
    <mergeCell ref="F21:K21"/>
    <mergeCell ref="F22:K22"/>
    <mergeCell ref="F23:K23"/>
    <mergeCell ref="F24:K24"/>
    <mergeCell ref="F26:K26"/>
    <mergeCell ref="F27:K27"/>
    <mergeCell ref="D64:E64"/>
    <mergeCell ref="F64:K64"/>
    <mergeCell ref="D62:K62"/>
    <mergeCell ref="D68:K71"/>
    <mergeCell ref="D73:K74"/>
    <mergeCell ref="D72:E72"/>
    <mergeCell ref="F72:K72"/>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B83"/>
  <sheetViews>
    <sheetView tabSelected="1" zoomScale="85" zoomScaleNormal="85" workbookViewId="0">
      <selection activeCell="H21" sqref="H21"/>
    </sheetView>
  </sheetViews>
  <sheetFormatPr defaultRowHeight="15"/>
  <cols>
    <col min="1" max="1" width="19.7109375" style="1" customWidth="1"/>
    <col min="2" max="2" width="10" customWidth="1"/>
    <col min="3" max="3" width="31.140625" style="58" customWidth="1"/>
    <col min="4" max="4" width="12.7109375" style="7" customWidth="1"/>
    <col min="5" max="5" width="5.42578125" style="7" customWidth="1"/>
    <col min="6" max="6" width="12.7109375" style="7" customWidth="1"/>
    <col min="7" max="7" width="7.28515625" style="7" customWidth="1"/>
    <col min="8" max="8" width="12.7109375" style="7" customWidth="1"/>
    <col min="9" max="9" width="6.140625" style="7" customWidth="1"/>
    <col min="10" max="10" width="12.7109375" style="7" customWidth="1"/>
    <col min="11" max="11" width="7.28515625" style="7" customWidth="1"/>
    <col min="12" max="12" width="12.7109375" customWidth="1"/>
    <col min="27" max="27" width="3" customWidth="1"/>
    <col min="28" max="28" width="6.7109375" customWidth="1"/>
  </cols>
  <sheetData>
    <row r="1" spans="1:15" ht="66.75" customHeight="1">
      <c r="A1" s="2"/>
    </row>
    <row r="2" spans="1:15" ht="20.100000000000001" customHeight="1">
      <c r="B2" s="195" t="s">
        <v>169</v>
      </c>
      <c r="C2" s="195"/>
      <c r="D2" s="195"/>
      <c r="E2" s="195"/>
      <c r="F2" s="195"/>
      <c r="G2" s="196"/>
      <c r="H2" s="196"/>
      <c r="I2" s="196"/>
      <c r="J2" s="196"/>
      <c r="K2" s="196"/>
      <c r="L2" s="196"/>
    </row>
    <row r="3" spans="1:15" ht="12.75" customHeight="1">
      <c r="D3" s="200"/>
      <c r="E3" s="201"/>
      <c r="F3" s="201"/>
    </row>
    <row r="4" spans="1:15" s="27" customFormat="1" ht="12.75" customHeight="1">
      <c r="A4" s="2"/>
      <c r="B4" s="189" t="s">
        <v>0</v>
      </c>
      <c r="C4" s="196"/>
      <c r="D4" s="198" t="s">
        <v>116</v>
      </c>
      <c r="E4" s="199"/>
      <c r="F4" s="199"/>
      <c r="G4" s="199"/>
      <c r="H4" s="199"/>
      <c r="I4" s="37"/>
      <c r="J4" s="37"/>
      <c r="K4" s="37"/>
      <c r="N4" s="151"/>
      <c r="O4" s="152"/>
    </row>
    <row r="5" spans="1:15" s="27" customFormat="1" ht="12.75">
      <c r="A5" s="2"/>
      <c r="B5" s="189" t="s">
        <v>2</v>
      </c>
      <c r="C5" s="189"/>
      <c r="D5" s="205">
        <v>41989</v>
      </c>
      <c r="E5" s="199"/>
      <c r="F5" s="199"/>
      <c r="G5" s="199"/>
      <c r="H5" s="199"/>
      <c r="I5" s="37"/>
      <c r="J5" s="37"/>
      <c r="K5" s="37"/>
    </row>
    <row r="6" spans="1:15" s="27" customFormat="1" ht="12.75">
      <c r="A6" s="2"/>
      <c r="B6" s="189" t="s">
        <v>3</v>
      </c>
      <c r="C6" s="189"/>
      <c r="D6" s="202" t="s">
        <v>116</v>
      </c>
      <c r="E6" s="203"/>
      <c r="F6" s="203"/>
      <c r="G6" s="204"/>
      <c r="H6" s="204"/>
      <c r="I6" s="37"/>
      <c r="J6" s="37"/>
      <c r="K6" s="37"/>
    </row>
    <row r="7" spans="1:15" s="27" customFormat="1" ht="12.75">
      <c r="A7" s="2"/>
      <c r="B7" s="189"/>
      <c r="C7" s="189"/>
      <c r="D7" s="202"/>
      <c r="E7" s="203"/>
      <c r="F7" s="203"/>
      <c r="G7" s="204"/>
      <c r="H7" s="204"/>
      <c r="I7" s="37"/>
      <c r="J7" s="37"/>
      <c r="K7" s="37"/>
    </row>
    <row r="8" spans="1:15" s="27" customFormat="1" ht="12.75">
      <c r="A8" s="2"/>
      <c r="B8" s="189"/>
      <c r="C8" s="189"/>
      <c r="D8" s="202"/>
      <c r="E8" s="203"/>
      <c r="F8" s="203"/>
      <c r="G8" s="204"/>
      <c r="H8" s="204"/>
      <c r="I8" s="37"/>
      <c r="J8" s="37"/>
      <c r="K8" s="37"/>
    </row>
    <row r="9" spans="1:15" s="27" customFormat="1" ht="12.75">
      <c r="A9" s="2"/>
      <c r="B9" s="189"/>
      <c r="C9" s="189"/>
      <c r="D9" s="202"/>
      <c r="E9" s="203"/>
      <c r="F9" s="203"/>
      <c r="G9" s="204"/>
      <c r="H9" s="204"/>
      <c r="I9" s="37"/>
      <c r="J9" s="37"/>
      <c r="K9" s="37"/>
    </row>
    <row r="10" spans="1:15" s="27" customFormat="1" ht="12.75" customHeight="1">
      <c r="A10" s="2"/>
      <c r="B10" s="189" t="s">
        <v>101</v>
      </c>
      <c r="C10" s="189"/>
      <c r="D10" s="206"/>
      <c r="E10" s="207"/>
      <c r="F10" s="207"/>
      <c r="G10" s="207"/>
      <c r="H10" s="104">
        <v>1285</v>
      </c>
      <c r="I10" s="37" t="s">
        <v>4</v>
      </c>
      <c r="J10" s="144" t="s">
        <v>197</v>
      </c>
      <c r="K10" s="146" t="str">
        <f>IF(H10=SUM(H11:H15),"ok","FOUT")</f>
        <v>ok</v>
      </c>
    </row>
    <row r="11" spans="1:15" s="27" customFormat="1" ht="12.75" customHeight="1">
      <c r="A11" s="2"/>
      <c r="B11" s="189" t="s">
        <v>107</v>
      </c>
      <c r="C11" s="189"/>
      <c r="D11" s="90"/>
      <c r="E11" s="90"/>
      <c r="F11" s="90"/>
      <c r="G11" s="90"/>
      <c r="H11" s="145">
        <f>27*15+12*15</f>
        <v>585</v>
      </c>
      <c r="I11" s="37" t="s">
        <v>4</v>
      </c>
      <c r="J11" s="168" t="s">
        <v>108</v>
      </c>
      <c r="K11" s="37"/>
    </row>
    <row r="12" spans="1:15" s="61" customFormat="1" ht="12.75" customHeight="1">
      <c r="A12" s="2"/>
      <c r="B12" s="189" t="s">
        <v>149</v>
      </c>
      <c r="C12" s="189"/>
      <c r="D12" s="90"/>
      <c r="E12" s="90"/>
      <c r="F12" s="90"/>
      <c r="G12" s="90"/>
      <c r="H12" s="134">
        <v>40</v>
      </c>
      <c r="I12" s="37" t="s">
        <v>4</v>
      </c>
      <c r="J12" s="168" t="s">
        <v>108</v>
      </c>
      <c r="K12" s="62"/>
    </row>
    <row r="13" spans="1:15" s="61" customFormat="1" ht="12.75" customHeight="1">
      <c r="A13" s="2"/>
      <c r="B13" s="189" t="s">
        <v>165</v>
      </c>
      <c r="C13" s="189"/>
      <c r="D13" s="208"/>
      <c r="E13" s="207"/>
      <c r="F13" s="207"/>
      <c r="G13" s="207"/>
      <c r="H13" s="104">
        <f>J54</f>
        <v>30</v>
      </c>
      <c r="I13" s="115" t="s">
        <v>4</v>
      </c>
      <c r="J13" s="168"/>
      <c r="K13" s="62"/>
    </row>
    <row r="14" spans="1:15" s="27" customFormat="1" ht="12.75" customHeight="1">
      <c r="A14" s="2"/>
      <c r="B14" s="189" t="s">
        <v>164</v>
      </c>
      <c r="C14" s="189"/>
      <c r="D14" s="90"/>
      <c r="E14" s="90"/>
      <c r="F14" s="90"/>
      <c r="G14" s="90"/>
      <c r="H14" s="134">
        <v>500</v>
      </c>
      <c r="I14" s="37" t="s">
        <v>4</v>
      </c>
      <c r="J14" s="168" t="s">
        <v>163</v>
      </c>
      <c r="K14" s="37"/>
    </row>
    <row r="15" spans="1:15" s="27" customFormat="1" ht="12.75" customHeight="1">
      <c r="A15" s="2"/>
      <c r="B15" s="189" t="s">
        <v>102</v>
      </c>
      <c r="C15" s="189"/>
      <c r="D15" s="90"/>
      <c r="E15" s="90"/>
      <c r="F15" s="90"/>
      <c r="G15" s="90"/>
      <c r="H15" s="134">
        <v>130</v>
      </c>
      <c r="I15" s="37" t="s">
        <v>4</v>
      </c>
      <c r="J15" s="168" t="s">
        <v>150</v>
      </c>
      <c r="K15" s="37"/>
    </row>
    <row r="16" spans="1:15" s="61" customFormat="1" ht="12.75" customHeight="1">
      <c r="A16" s="2"/>
      <c r="B16" s="215" t="s">
        <v>281</v>
      </c>
      <c r="C16" s="215"/>
      <c r="D16" s="216"/>
      <c r="E16" s="216"/>
      <c r="F16" s="216"/>
      <c r="G16" s="216"/>
      <c r="H16" s="134">
        <f>17*27</f>
        <v>459</v>
      </c>
      <c r="I16" s="166" t="s">
        <v>4</v>
      </c>
      <c r="J16" s="168"/>
      <c r="K16" s="62"/>
    </row>
    <row r="17" spans="1:12" s="27" customFormat="1" ht="12.75" customHeight="1">
      <c r="A17" s="2"/>
      <c r="B17" s="189" t="s">
        <v>1</v>
      </c>
      <c r="C17" s="189"/>
      <c r="D17" s="90"/>
      <c r="E17" s="90"/>
      <c r="F17" s="90"/>
      <c r="G17" s="90"/>
      <c r="H17" s="134">
        <v>12</v>
      </c>
      <c r="I17" s="37" t="s">
        <v>36</v>
      </c>
      <c r="J17" s="168"/>
      <c r="K17" s="37"/>
    </row>
    <row r="18" spans="1:12" s="164" customFormat="1" ht="12.75" customHeight="1">
      <c r="A18" s="160"/>
      <c r="B18" s="161"/>
      <c r="C18" s="161"/>
      <c r="D18" s="127"/>
      <c r="E18" s="127"/>
      <c r="F18" s="127"/>
      <c r="G18" s="127"/>
      <c r="H18" s="162"/>
      <c r="I18" s="163"/>
      <c r="J18" s="169"/>
      <c r="K18" s="163"/>
    </row>
    <row r="19" spans="1:12" s="61" customFormat="1" ht="12.75" customHeight="1">
      <c r="A19" s="2"/>
      <c r="B19" s="155" t="s">
        <v>269</v>
      </c>
      <c r="C19" s="155"/>
      <c r="D19" s="90"/>
      <c r="E19" s="90"/>
      <c r="F19" s="90"/>
      <c r="G19" s="90"/>
      <c r="H19" s="135" t="s">
        <v>271</v>
      </c>
      <c r="I19" s="62"/>
      <c r="J19" s="168"/>
      <c r="K19" s="62"/>
    </row>
    <row r="20" spans="1:12" s="61" customFormat="1" ht="12.75" customHeight="1">
      <c r="A20" s="2"/>
      <c r="B20" s="189"/>
      <c r="C20" s="189"/>
      <c r="D20" s="209"/>
      <c r="E20" s="207"/>
      <c r="F20" s="207"/>
      <c r="G20" s="207"/>
      <c r="H20" s="114"/>
      <c r="I20" s="62"/>
      <c r="J20" s="168"/>
      <c r="K20" s="62"/>
    </row>
    <row r="21" spans="1:12" s="61" customFormat="1" ht="12.75" customHeight="1">
      <c r="A21" s="2"/>
      <c r="B21" s="189" t="s">
        <v>268</v>
      </c>
      <c r="C21" s="189"/>
      <c r="D21" s="209"/>
      <c r="E21" s="207"/>
      <c r="F21" s="207"/>
      <c r="G21" s="207"/>
      <c r="H21" s="165">
        <v>43344</v>
      </c>
      <c r="I21" s="166"/>
      <c r="J21" s="167" t="s">
        <v>261</v>
      </c>
      <c r="K21" s="62"/>
    </row>
    <row r="22" spans="1:12" s="61" customFormat="1" ht="12.75" customHeight="1">
      <c r="A22" s="2"/>
      <c r="B22" s="189" t="s">
        <v>151</v>
      </c>
      <c r="C22" s="189"/>
      <c r="D22" s="90"/>
      <c r="E22" s="90"/>
      <c r="F22" s="90"/>
      <c r="G22" s="90"/>
      <c r="H22" s="135">
        <v>43525</v>
      </c>
      <c r="I22" s="62"/>
      <c r="J22" s="168"/>
      <c r="K22" s="62"/>
    </row>
    <row r="23" spans="1:12" ht="12.75" customHeight="1">
      <c r="B23" s="189" t="s">
        <v>152</v>
      </c>
      <c r="C23" s="189"/>
      <c r="D23" s="90"/>
      <c r="E23" s="90"/>
      <c r="F23" s="90"/>
      <c r="G23" s="90"/>
      <c r="H23" s="135">
        <v>44440</v>
      </c>
      <c r="J23" s="170"/>
    </row>
    <row r="24" spans="1:12" s="58" customFormat="1" ht="12.75" customHeight="1">
      <c r="A24" s="26"/>
      <c r="B24" s="106"/>
      <c r="C24" s="106"/>
      <c r="D24" s="127"/>
      <c r="E24" s="127"/>
      <c r="F24" s="127"/>
      <c r="G24" s="127"/>
      <c r="H24" s="128"/>
      <c r="I24" s="116"/>
      <c r="J24" s="170"/>
      <c r="K24" s="116"/>
    </row>
    <row r="25" spans="1:12" s="58" customFormat="1" ht="12.75" customHeight="1">
      <c r="A25" s="26"/>
      <c r="B25" s="106" t="s">
        <v>190</v>
      </c>
      <c r="C25" s="106"/>
      <c r="D25" s="90"/>
      <c r="E25" s="90"/>
      <c r="F25" s="90"/>
      <c r="G25" s="90"/>
      <c r="H25" s="135" t="s">
        <v>124</v>
      </c>
      <c r="I25" s="116"/>
      <c r="J25" s="170"/>
      <c r="K25" s="116"/>
    </row>
    <row r="26" spans="1:12" s="58" customFormat="1" ht="12.75" customHeight="1">
      <c r="A26" s="26"/>
      <c r="B26" s="106" t="s">
        <v>191</v>
      </c>
      <c r="C26" s="106"/>
      <c r="D26" s="90"/>
      <c r="E26" s="90"/>
      <c r="F26" s="90"/>
      <c r="G26" s="90"/>
      <c r="H26" s="135" t="s">
        <v>124</v>
      </c>
      <c r="I26" s="116"/>
      <c r="J26" s="170"/>
      <c r="K26" s="116"/>
    </row>
    <row r="27" spans="1:12" s="58" customFormat="1" ht="12.75" customHeight="1">
      <c r="A27" s="26"/>
      <c r="B27" s="106" t="s">
        <v>32</v>
      </c>
      <c r="C27" s="106"/>
      <c r="D27" s="90"/>
      <c r="E27" s="90"/>
      <c r="F27" s="90"/>
      <c r="G27" s="90"/>
      <c r="H27" s="135" t="s">
        <v>124</v>
      </c>
      <c r="I27" s="116"/>
      <c r="J27" s="170"/>
      <c r="K27" s="116"/>
    </row>
    <row r="28" spans="1:12" s="58" customFormat="1" ht="12.75" customHeight="1">
      <c r="A28" s="26"/>
      <c r="B28" s="106" t="s">
        <v>228</v>
      </c>
      <c r="C28" s="106"/>
      <c r="D28" s="90"/>
      <c r="E28" s="90"/>
      <c r="F28" s="90"/>
      <c r="G28" s="90"/>
      <c r="H28" s="135" t="s">
        <v>124</v>
      </c>
      <c r="I28" s="116"/>
      <c r="J28" s="116"/>
      <c r="K28" s="116"/>
    </row>
    <row r="29" spans="1:12" s="58" customFormat="1" ht="12.75" customHeight="1">
      <c r="A29" s="26"/>
      <c r="B29" s="106" t="s">
        <v>196</v>
      </c>
      <c r="C29" s="106"/>
      <c r="D29" s="90"/>
      <c r="E29" s="90"/>
      <c r="F29" s="90"/>
      <c r="G29" s="90"/>
      <c r="H29" s="135" t="s">
        <v>124</v>
      </c>
      <c r="I29" s="116"/>
      <c r="J29" s="116"/>
      <c r="K29" s="116"/>
    </row>
    <row r="30" spans="1:12" ht="12.75" customHeight="1"/>
    <row r="31" spans="1:12" ht="20.100000000000001" customHeight="1">
      <c r="B31" s="195" t="s">
        <v>51</v>
      </c>
      <c r="C31" s="195"/>
      <c r="D31" s="195"/>
      <c r="E31" s="195"/>
      <c r="F31" s="195"/>
      <c r="G31" s="197"/>
      <c r="H31" s="197"/>
      <c r="I31" s="197"/>
      <c r="J31" s="197"/>
      <c r="K31" s="197"/>
      <c r="L31" s="197"/>
    </row>
    <row r="32" spans="1:12" s="27" customFormat="1" ht="38.25">
      <c r="A32" s="38"/>
      <c r="B32" s="39" t="s">
        <v>103</v>
      </c>
      <c r="C32" s="39" t="s">
        <v>167</v>
      </c>
      <c r="D32" s="39" t="s">
        <v>21</v>
      </c>
      <c r="E32" s="39"/>
      <c r="F32" s="39" t="s">
        <v>22</v>
      </c>
      <c r="G32" s="39"/>
      <c r="H32" s="39" t="s">
        <v>23</v>
      </c>
      <c r="I32" s="39"/>
      <c r="J32" s="39" t="s">
        <v>166</v>
      </c>
      <c r="K32" s="39"/>
      <c r="L32" s="39" t="s">
        <v>38</v>
      </c>
    </row>
    <row r="33" spans="1:28" s="27" customFormat="1" ht="12.75">
      <c r="A33" s="13"/>
      <c r="B33" s="133" t="str">
        <f t="shared" ref="B33:B52" si="0">IF(AA33&gt;$H$17," ",AB33)</f>
        <v>Unit 1</v>
      </c>
      <c r="C33" s="136" t="s">
        <v>168</v>
      </c>
      <c r="D33" s="136">
        <v>103</v>
      </c>
      <c r="E33" s="40" t="s">
        <v>4</v>
      </c>
      <c r="F33" s="138">
        <v>0</v>
      </c>
      <c r="G33" s="40" t="s">
        <v>4</v>
      </c>
      <c r="H33" s="138">
        <v>10</v>
      </c>
      <c r="I33" s="40" t="s">
        <v>4</v>
      </c>
      <c r="J33" s="138">
        <v>10</v>
      </c>
      <c r="K33" s="40" t="s">
        <v>4</v>
      </c>
      <c r="L33" s="41">
        <f>(D33+F33+H33+J33)/($D$54+$F$54+$H$54+$J$54)*1000</f>
        <v>81.510934393638166</v>
      </c>
      <c r="AA33" s="132">
        <v>1</v>
      </c>
      <c r="AB33" s="132" t="s">
        <v>141</v>
      </c>
    </row>
    <row r="34" spans="1:28" s="27" customFormat="1" ht="12.75">
      <c r="A34" s="13"/>
      <c r="B34" s="133" t="str">
        <f t="shared" si="0"/>
        <v>Unit 2</v>
      </c>
      <c r="C34" s="137" t="s">
        <v>212</v>
      </c>
      <c r="D34" s="136">
        <f>103-10</f>
        <v>93</v>
      </c>
      <c r="E34" s="40" t="s">
        <v>4</v>
      </c>
      <c r="F34" s="138">
        <v>10</v>
      </c>
      <c r="G34" s="40" t="s">
        <v>4</v>
      </c>
      <c r="H34" s="138">
        <v>0</v>
      </c>
      <c r="I34" s="40" t="s">
        <v>4</v>
      </c>
      <c r="J34" s="138">
        <v>10</v>
      </c>
      <c r="K34" s="40" t="s">
        <v>4</v>
      </c>
      <c r="L34" s="41">
        <f t="shared" ref="L34:L52" si="1">(D34+F34+H34+J34)/($D$54+$F$54+$H$54+$J$54)*1000</f>
        <v>74.884029158383029</v>
      </c>
      <c r="AA34" s="132">
        <v>2</v>
      </c>
      <c r="AB34" s="132" t="s">
        <v>160</v>
      </c>
    </row>
    <row r="35" spans="1:28" s="27" customFormat="1" ht="12.75">
      <c r="A35" s="13"/>
      <c r="B35" s="133" t="str">
        <f t="shared" si="0"/>
        <v>Unit 3</v>
      </c>
      <c r="C35" s="137" t="s">
        <v>213</v>
      </c>
      <c r="D35" s="136">
        <f>64.5*2</f>
        <v>129</v>
      </c>
      <c r="E35" s="40" t="s">
        <v>4</v>
      </c>
      <c r="F35" s="138">
        <v>0</v>
      </c>
      <c r="G35" s="40" t="s">
        <v>4</v>
      </c>
      <c r="H35" s="138">
        <v>0</v>
      </c>
      <c r="I35" s="40" t="s">
        <v>4</v>
      </c>
      <c r="J35" s="138">
        <v>10</v>
      </c>
      <c r="K35" s="40" t="s">
        <v>4</v>
      </c>
      <c r="L35" s="41">
        <f t="shared" si="1"/>
        <v>92.113982770046391</v>
      </c>
      <c r="AA35" s="132">
        <v>3</v>
      </c>
      <c r="AB35" s="132" t="s">
        <v>161</v>
      </c>
    </row>
    <row r="36" spans="1:28" s="27" customFormat="1" ht="12.75">
      <c r="A36" s="13"/>
      <c r="B36" s="133" t="str">
        <f t="shared" si="0"/>
        <v>Unit 4</v>
      </c>
      <c r="C36" s="137" t="s">
        <v>214</v>
      </c>
      <c r="D36" s="136">
        <f>64.5*2</f>
        <v>129</v>
      </c>
      <c r="E36" s="40" t="s">
        <v>4</v>
      </c>
      <c r="F36" s="138">
        <v>0</v>
      </c>
      <c r="G36" s="40" t="s">
        <v>4</v>
      </c>
      <c r="H36" s="138">
        <v>0</v>
      </c>
      <c r="I36" s="40" t="s">
        <v>4</v>
      </c>
      <c r="J36" s="138">
        <v>0</v>
      </c>
      <c r="K36" s="40" t="s">
        <v>4</v>
      </c>
      <c r="L36" s="41">
        <f t="shared" si="1"/>
        <v>85.487077534791254</v>
      </c>
      <c r="AA36" s="132">
        <v>4</v>
      </c>
      <c r="AB36" s="132" t="s">
        <v>24</v>
      </c>
    </row>
    <row r="37" spans="1:28" s="27" customFormat="1" ht="12.75">
      <c r="A37" s="13"/>
      <c r="B37" s="133" t="str">
        <f t="shared" si="0"/>
        <v>Unit 5</v>
      </c>
      <c r="C37" s="137" t="s">
        <v>215</v>
      </c>
      <c r="D37" s="136">
        <f>64.5*2-15</f>
        <v>114</v>
      </c>
      <c r="E37" s="40" t="s">
        <v>4</v>
      </c>
      <c r="F37" s="138">
        <v>15</v>
      </c>
      <c r="G37" s="40" t="s">
        <v>4</v>
      </c>
      <c r="H37" s="138">
        <v>0</v>
      </c>
      <c r="I37" s="40" t="s">
        <v>4</v>
      </c>
      <c r="J37" s="138">
        <v>0</v>
      </c>
      <c r="K37" s="40" t="s">
        <v>4</v>
      </c>
      <c r="L37" s="41">
        <f t="shared" si="1"/>
        <v>85.487077534791254</v>
      </c>
      <c r="AA37" s="132">
        <v>5</v>
      </c>
      <c r="AB37" s="132" t="s">
        <v>25</v>
      </c>
    </row>
    <row r="38" spans="1:28" s="27" customFormat="1" ht="12.75">
      <c r="A38" s="13"/>
      <c r="B38" s="133" t="str">
        <f t="shared" si="0"/>
        <v>Unit 6</v>
      </c>
      <c r="C38" s="137" t="s">
        <v>216</v>
      </c>
      <c r="D38" s="136">
        <f>64.5*2</f>
        <v>129</v>
      </c>
      <c r="E38" s="40" t="s">
        <v>4</v>
      </c>
      <c r="F38" s="138">
        <v>0</v>
      </c>
      <c r="G38" s="40" t="s">
        <v>4</v>
      </c>
      <c r="H38" s="138">
        <v>0</v>
      </c>
      <c r="I38" s="40" t="s">
        <v>4</v>
      </c>
      <c r="J38" s="138">
        <v>0</v>
      </c>
      <c r="K38" s="40" t="s">
        <v>4</v>
      </c>
      <c r="L38" s="41">
        <f t="shared" si="1"/>
        <v>85.487077534791254</v>
      </c>
      <c r="AA38" s="132">
        <v>6</v>
      </c>
      <c r="AB38" s="132" t="s">
        <v>26</v>
      </c>
    </row>
    <row r="39" spans="1:28" s="27" customFormat="1" ht="12.75">
      <c r="A39" s="13"/>
      <c r="B39" s="133" t="str">
        <f t="shared" si="0"/>
        <v>Unit 7</v>
      </c>
      <c r="C39" s="137" t="s">
        <v>209</v>
      </c>
      <c r="D39" s="136">
        <f>64.5*2-25</f>
        <v>104</v>
      </c>
      <c r="E39" s="40" t="s">
        <v>4</v>
      </c>
      <c r="F39" s="138">
        <v>25</v>
      </c>
      <c r="G39" s="40" t="s">
        <v>4</v>
      </c>
      <c r="H39" s="138">
        <v>0</v>
      </c>
      <c r="I39" s="40" t="s">
        <v>4</v>
      </c>
      <c r="J39" s="138">
        <v>0</v>
      </c>
      <c r="K39" s="40" t="s">
        <v>4</v>
      </c>
      <c r="L39" s="41">
        <f t="shared" si="1"/>
        <v>85.487077534791254</v>
      </c>
      <c r="AA39" s="132">
        <v>7</v>
      </c>
      <c r="AB39" s="132" t="s">
        <v>27</v>
      </c>
    </row>
    <row r="40" spans="1:28" s="27" customFormat="1" ht="12.75">
      <c r="A40" s="13"/>
      <c r="B40" s="133" t="str">
        <f t="shared" si="0"/>
        <v>Unit 8</v>
      </c>
      <c r="C40" s="137" t="s">
        <v>210</v>
      </c>
      <c r="D40" s="136">
        <f>64.5*2</f>
        <v>129</v>
      </c>
      <c r="E40" s="40" t="s">
        <v>4</v>
      </c>
      <c r="F40" s="138">
        <v>0</v>
      </c>
      <c r="G40" s="40" t="s">
        <v>4</v>
      </c>
      <c r="H40" s="138">
        <v>0</v>
      </c>
      <c r="I40" s="40" t="s">
        <v>4</v>
      </c>
      <c r="J40" s="138">
        <v>0</v>
      </c>
      <c r="K40" s="40" t="s">
        <v>4</v>
      </c>
      <c r="L40" s="41">
        <f t="shared" si="1"/>
        <v>85.487077534791254</v>
      </c>
      <c r="AA40" s="132">
        <v>8</v>
      </c>
      <c r="AB40" s="132" t="s">
        <v>28</v>
      </c>
    </row>
    <row r="41" spans="1:28" s="27" customFormat="1" ht="12.75">
      <c r="A41" s="13"/>
      <c r="B41" s="133" t="str">
        <f t="shared" si="0"/>
        <v>Unit 9</v>
      </c>
      <c r="C41" s="137" t="s">
        <v>211</v>
      </c>
      <c r="D41" s="136">
        <f>64.5*2-8</f>
        <v>121</v>
      </c>
      <c r="E41" s="40" t="s">
        <v>4</v>
      </c>
      <c r="F41" s="138">
        <v>0</v>
      </c>
      <c r="G41" s="40" t="s">
        <v>4</v>
      </c>
      <c r="H41" s="138">
        <v>6</v>
      </c>
      <c r="I41" s="40" t="s">
        <v>4</v>
      </c>
      <c r="J41" s="138">
        <v>0</v>
      </c>
      <c r="K41" s="40" t="s">
        <v>4</v>
      </c>
      <c r="L41" s="41">
        <f t="shared" si="1"/>
        <v>84.16169648774023</v>
      </c>
      <c r="AA41" s="132">
        <v>9</v>
      </c>
      <c r="AB41" s="132" t="s">
        <v>29</v>
      </c>
    </row>
    <row r="42" spans="1:28" s="27" customFormat="1" ht="12.75">
      <c r="A42" s="13"/>
      <c r="B42" s="133" t="str">
        <f t="shared" si="0"/>
        <v>Unit 10</v>
      </c>
      <c r="C42" s="137" t="s">
        <v>217</v>
      </c>
      <c r="D42" s="136">
        <f>64.5*2</f>
        <v>129</v>
      </c>
      <c r="E42" s="40" t="s">
        <v>4</v>
      </c>
      <c r="F42" s="138">
        <v>0</v>
      </c>
      <c r="G42" s="40" t="s">
        <v>4</v>
      </c>
      <c r="H42" s="138">
        <v>0</v>
      </c>
      <c r="I42" s="40" t="s">
        <v>4</v>
      </c>
      <c r="J42" s="138">
        <v>0</v>
      </c>
      <c r="K42" s="40" t="s">
        <v>4</v>
      </c>
      <c r="L42" s="41">
        <f t="shared" si="1"/>
        <v>85.487077534791254</v>
      </c>
      <c r="AA42" s="132">
        <v>10</v>
      </c>
      <c r="AB42" s="132" t="s">
        <v>30</v>
      </c>
    </row>
    <row r="43" spans="1:28" s="27" customFormat="1" ht="12.75">
      <c r="A43" s="13"/>
      <c r="B43" s="133" t="str">
        <f t="shared" si="0"/>
        <v>Unit 11</v>
      </c>
      <c r="C43" s="137" t="s">
        <v>218</v>
      </c>
      <c r="D43" s="136">
        <f>64.5*2-20</f>
        <v>109</v>
      </c>
      <c r="E43" s="40" t="s">
        <v>4</v>
      </c>
      <c r="F43" s="138">
        <v>21</v>
      </c>
      <c r="G43" s="40" t="s">
        <v>4</v>
      </c>
      <c r="H43" s="138">
        <v>0</v>
      </c>
      <c r="I43" s="40" t="s">
        <v>4</v>
      </c>
      <c r="J43" s="138">
        <v>0</v>
      </c>
      <c r="K43" s="40" t="s">
        <v>4</v>
      </c>
      <c r="L43" s="41">
        <f t="shared" si="1"/>
        <v>86.149768058316766</v>
      </c>
      <c r="AA43" s="132">
        <v>11</v>
      </c>
      <c r="AB43" s="132" t="s">
        <v>31</v>
      </c>
    </row>
    <row r="44" spans="1:28" s="61" customFormat="1" ht="12.75">
      <c r="A44" s="13"/>
      <c r="B44" s="133" t="str">
        <f t="shared" si="0"/>
        <v>Unit 12</v>
      </c>
      <c r="C44" s="137" t="s">
        <v>249</v>
      </c>
      <c r="D44" s="136">
        <v>103</v>
      </c>
      <c r="E44" s="40" t="s">
        <v>4</v>
      </c>
      <c r="F44" s="138">
        <v>0</v>
      </c>
      <c r="G44" s="40" t="s">
        <v>4</v>
      </c>
      <c r="H44" s="138">
        <v>0</v>
      </c>
      <c r="I44" s="40" t="s">
        <v>4</v>
      </c>
      <c r="J44" s="138">
        <v>0</v>
      </c>
      <c r="K44" s="40" t="s">
        <v>4</v>
      </c>
      <c r="L44" s="41">
        <f t="shared" si="1"/>
        <v>68.257123923127892</v>
      </c>
      <c r="AA44" s="132">
        <v>12</v>
      </c>
      <c r="AB44" s="132" t="s">
        <v>240</v>
      </c>
    </row>
    <row r="45" spans="1:28" s="61" customFormat="1" ht="12.75">
      <c r="A45" s="13"/>
      <c r="B45" s="133" t="str">
        <f t="shared" si="0"/>
        <v xml:space="preserve"> </v>
      </c>
      <c r="C45" s="137"/>
      <c r="D45" s="136">
        <v>0</v>
      </c>
      <c r="E45" s="40" t="s">
        <v>4</v>
      </c>
      <c r="F45" s="138">
        <v>0</v>
      </c>
      <c r="G45" s="40" t="s">
        <v>4</v>
      </c>
      <c r="H45" s="138">
        <v>0</v>
      </c>
      <c r="I45" s="40" t="s">
        <v>4</v>
      </c>
      <c r="J45" s="138">
        <v>0</v>
      </c>
      <c r="K45" s="40" t="s">
        <v>4</v>
      </c>
      <c r="L45" s="41">
        <f t="shared" si="1"/>
        <v>0</v>
      </c>
      <c r="AA45" s="132">
        <v>13</v>
      </c>
      <c r="AB45" s="132" t="s">
        <v>241</v>
      </c>
    </row>
    <row r="46" spans="1:28" s="61" customFormat="1" ht="12.75">
      <c r="A46" s="13"/>
      <c r="B46" s="133" t="str">
        <f t="shared" si="0"/>
        <v xml:space="preserve"> </v>
      </c>
      <c r="C46" s="137"/>
      <c r="D46" s="136">
        <v>0</v>
      </c>
      <c r="E46" s="40" t="s">
        <v>4</v>
      </c>
      <c r="F46" s="138">
        <v>0</v>
      </c>
      <c r="G46" s="40" t="s">
        <v>4</v>
      </c>
      <c r="H46" s="138">
        <v>0</v>
      </c>
      <c r="I46" s="40" t="s">
        <v>4</v>
      </c>
      <c r="J46" s="138">
        <v>0</v>
      </c>
      <c r="K46" s="40" t="s">
        <v>4</v>
      </c>
      <c r="L46" s="41">
        <f t="shared" si="1"/>
        <v>0</v>
      </c>
      <c r="AA46" s="132">
        <v>14</v>
      </c>
      <c r="AB46" s="132" t="s">
        <v>242</v>
      </c>
    </row>
    <row r="47" spans="1:28" s="61" customFormat="1" ht="12.75">
      <c r="A47" s="13"/>
      <c r="B47" s="133" t="str">
        <f t="shared" si="0"/>
        <v xml:space="preserve"> </v>
      </c>
      <c r="C47" s="137"/>
      <c r="D47" s="136">
        <v>0</v>
      </c>
      <c r="E47" s="40" t="s">
        <v>4</v>
      </c>
      <c r="F47" s="138">
        <v>0</v>
      </c>
      <c r="G47" s="40" t="s">
        <v>4</v>
      </c>
      <c r="H47" s="138">
        <v>0</v>
      </c>
      <c r="I47" s="40" t="s">
        <v>4</v>
      </c>
      <c r="J47" s="138">
        <v>0</v>
      </c>
      <c r="K47" s="40" t="s">
        <v>4</v>
      </c>
      <c r="L47" s="41">
        <f t="shared" si="1"/>
        <v>0</v>
      </c>
      <c r="AA47" s="132">
        <v>15</v>
      </c>
      <c r="AB47" s="132" t="s">
        <v>243</v>
      </c>
    </row>
    <row r="48" spans="1:28" s="61" customFormat="1" ht="12.75">
      <c r="A48" s="13"/>
      <c r="B48" s="133" t="str">
        <f t="shared" si="0"/>
        <v xml:space="preserve"> </v>
      </c>
      <c r="C48" s="137"/>
      <c r="D48" s="136">
        <v>0</v>
      </c>
      <c r="E48" s="40" t="s">
        <v>4</v>
      </c>
      <c r="F48" s="138">
        <v>0</v>
      </c>
      <c r="G48" s="40" t="s">
        <v>4</v>
      </c>
      <c r="H48" s="138">
        <v>0</v>
      </c>
      <c r="I48" s="40" t="s">
        <v>4</v>
      </c>
      <c r="J48" s="138">
        <v>0</v>
      </c>
      <c r="K48" s="40" t="s">
        <v>4</v>
      </c>
      <c r="L48" s="41">
        <f t="shared" si="1"/>
        <v>0</v>
      </c>
      <c r="AA48" s="132">
        <v>16</v>
      </c>
      <c r="AB48" s="132" t="s">
        <v>244</v>
      </c>
    </row>
    <row r="49" spans="1:28" s="61" customFormat="1" ht="12.75">
      <c r="A49" s="13"/>
      <c r="B49" s="133" t="str">
        <f t="shared" si="0"/>
        <v xml:space="preserve"> </v>
      </c>
      <c r="C49" s="137"/>
      <c r="D49" s="136">
        <v>0</v>
      </c>
      <c r="E49" s="40" t="s">
        <v>4</v>
      </c>
      <c r="F49" s="138">
        <v>0</v>
      </c>
      <c r="G49" s="40" t="s">
        <v>4</v>
      </c>
      <c r="H49" s="138">
        <v>0</v>
      </c>
      <c r="I49" s="40" t="s">
        <v>4</v>
      </c>
      <c r="J49" s="138">
        <v>0</v>
      </c>
      <c r="K49" s="40" t="s">
        <v>4</v>
      </c>
      <c r="L49" s="41">
        <f t="shared" si="1"/>
        <v>0</v>
      </c>
      <c r="AA49" s="132">
        <v>17</v>
      </c>
      <c r="AB49" s="132" t="s">
        <v>245</v>
      </c>
    </row>
    <row r="50" spans="1:28" s="61" customFormat="1" ht="12.75">
      <c r="A50" s="13"/>
      <c r="B50" s="133" t="str">
        <f t="shared" si="0"/>
        <v xml:space="preserve"> </v>
      </c>
      <c r="C50" s="137"/>
      <c r="D50" s="136">
        <v>0</v>
      </c>
      <c r="E50" s="40" t="s">
        <v>4</v>
      </c>
      <c r="F50" s="138">
        <v>0</v>
      </c>
      <c r="G50" s="40" t="s">
        <v>4</v>
      </c>
      <c r="H50" s="138">
        <v>0</v>
      </c>
      <c r="I50" s="40" t="s">
        <v>4</v>
      </c>
      <c r="J50" s="138">
        <v>0</v>
      </c>
      <c r="K50" s="40" t="s">
        <v>4</v>
      </c>
      <c r="L50" s="41">
        <f t="shared" si="1"/>
        <v>0</v>
      </c>
      <c r="AA50" s="132">
        <v>18</v>
      </c>
      <c r="AB50" s="132" t="s">
        <v>246</v>
      </c>
    </row>
    <row r="51" spans="1:28" s="61" customFormat="1" ht="12.75">
      <c r="A51" s="13"/>
      <c r="B51" s="133" t="str">
        <f t="shared" si="0"/>
        <v xml:space="preserve"> </v>
      </c>
      <c r="C51" s="137"/>
      <c r="D51" s="136">
        <v>0</v>
      </c>
      <c r="E51" s="40" t="s">
        <v>4</v>
      </c>
      <c r="F51" s="138">
        <v>0</v>
      </c>
      <c r="G51" s="40" t="s">
        <v>4</v>
      </c>
      <c r="H51" s="138">
        <v>0</v>
      </c>
      <c r="I51" s="40" t="s">
        <v>4</v>
      </c>
      <c r="J51" s="138">
        <v>0</v>
      </c>
      <c r="K51" s="40" t="s">
        <v>4</v>
      </c>
      <c r="L51" s="41">
        <f t="shared" si="1"/>
        <v>0</v>
      </c>
      <c r="AA51" s="132">
        <v>19</v>
      </c>
      <c r="AB51" s="132" t="s">
        <v>247</v>
      </c>
    </row>
    <row r="52" spans="1:28" s="61" customFormat="1" ht="12.75">
      <c r="A52" s="13"/>
      <c r="B52" s="133" t="str">
        <f t="shared" si="0"/>
        <v xml:space="preserve"> </v>
      </c>
      <c r="C52" s="137"/>
      <c r="D52" s="136">
        <v>0</v>
      </c>
      <c r="E52" s="40" t="s">
        <v>4</v>
      </c>
      <c r="F52" s="138">
        <v>0</v>
      </c>
      <c r="G52" s="40" t="s">
        <v>4</v>
      </c>
      <c r="H52" s="138">
        <v>0</v>
      </c>
      <c r="I52" s="40" t="s">
        <v>4</v>
      </c>
      <c r="J52" s="138">
        <v>0</v>
      </c>
      <c r="K52" s="40" t="s">
        <v>4</v>
      </c>
      <c r="L52" s="41">
        <f t="shared" si="1"/>
        <v>0</v>
      </c>
      <c r="AA52" s="132">
        <v>20</v>
      </c>
      <c r="AB52" s="132" t="s">
        <v>248</v>
      </c>
    </row>
    <row r="53" spans="1:28" s="27" customFormat="1" ht="12.75">
      <c r="A53" s="13"/>
      <c r="B53" s="29"/>
      <c r="C53" s="29"/>
      <c r="D53" s="72"/>
      <c r="E53" s="72"/>
      <c r="F53" s="73"/>
      <c r="G53" s="72"/>
      <c r="H53" s="73"/>
      <c r="I53" s="72"/>
      <c r="J53" s="73"/>
      <c r="K53" s="72"/>
      <c r="L53" s="74"/>
      <c r="AA53" s="61"/>
    </row>
    <row r="54" spans="1:28" s="30" customFormat="1" ht="12.75">
      <c r="A54" s="38"/>
      <c r="B54" s="75"/>
      <c r="C54" s="75"/>
      <c r="D54" s="76">
        <f>SUM(D33:D53)</f>
        <v>1392</v>
      </c>
      <c r="E54" s="77" t="s">
        <v>4</v>
      </c>
      <c r="F54" s="77">
        <f>SUM(F33:F53)</f>
        <v>71</v>
      </c>
      <c r="G54" s="77" t="s">
        <v>4</v>
      </c>
      <c r="H54" s="77">
        <f>SUM(H33:H53)</f>
        <v>16</v>
      </c>
      <c r="I54" s="77" t="s">
        <v>4</v>
      </c>
      <c r="J54" s="77">
        <f>SUM(J33:J53)</f>
        <v>30</v>
      </c>
      <c r="K54" s="77" t="s">
        <v>4</v>
      </c>
      <c r="L54" s="78">
        <f>SUM(L33:L53)</f>
        <v>1000</v>
      </c>
    </row>
    <row r="55" spans="1:28" s="27" customFormat="1" ht="12.75">
      <c r="A55" s="13"/>
      <c r="B55" s="33"/>
      <c r="C55" s="33"/>
      <c r="D55" s="42"/>
      <c r="E55" s="42"/>
      <c r="F55" s="43"/>
      <c r="G55" s="43"/>
      <c r="H55" s="43"/>
      <c r="I55" s="43"/>
      <c r="J55" s="43"/>
      <c r="K55" s="43"/>
      <c r="L55" s="33"/>
    </row>
    <row r="56" spans="1:28" s="61" customFormat="1" ht="12.75">
      <c r="A56" s="13"/>
      <c r="B56" s="33"/>
      <c r="C56" s="33"/>
      <c r="D56" s="42"/>
      <c r="E56" s="42"/>
      <c r="F56" s="43"/>
      <c r="G56" s="43"/>
      <c r="H56" s="43"/>
      <c r="I56" s="43"/>
      <c r="J56" s="43"/>
      <c r="K56" s="43"/>
      <c r="L56" s="33"/>
    </row>
    <row r="57" spans="1:28" s="61" customFormat="1" ht="45.75" customHeight="1">
      <c r="A57" s="13"/>
      <c r="B57" s="39" t="s">
        <v>104</v>
      </c>
      <c r="C57" s="154" t="s">
        <v>250</v>
      </c>
      <c r="D57" s="154" t="s">
        <v>260</v>
      </c>
      <c r="E57" s="39"/>
      <c r="F57" s="39" t="s">
        <v>22</v>
      </c>
      <c r="G57" s="39"/>
      <c r="H57" s="39" t="s">
        <v>23</v>
      </c>
      <c r="I57" s="39"/>
      <c r="J57" s="39"/>
      <c r="K57" s="39"/>
      <c r="L57" s="39"/>
    </row>
    <row r="58" spans="1:28" s="61" customFormat="1" ht="12.75" customHeight="1">
      <c r="A58" s="13"/>
      <c r="B58" s="153" t="s">
        <v>105</v>
      </c>
      <c r="C58" s="136" t="s">
        <v>251</v>
      </c>
      <c r="D58" s="138">
        <v>40</v>
      </c>
      <c r="E58" s="40" t="s">
        <v>4</v>
      </c>
      <c r="F58" s="138">
        <v>0</v>
      </c>
      <c r="G58" s="40" t="s">
        <v>4</v>
      </c>
      <c r="H58" s="138">
        <v>0</v>
      </c>
      <c r="I58" s="40" t="s">
        <v>4</v>
      </c>
      <c r="J58" s="107"/>
      <c r="K58" s="40"/>
      <c r="L58" s="41"/>
    </row>
    <row r="59" spans="1:28" s="61" customFormat="1" ht="12.75" customHeight="1">
      <c r="A59" s="13"/>
      <c r="B59" s="153" t="s">
        <v>106</v>
      </c>
      <c r="C59" s="137" t="s">
        <v>258</v>
      </c>
      <c r="D59" s="138">
        <v>35</v>
      </c>
      <c r="E59" s="40" t="s">
        <v>4</v>
      </c>
      <c r="F59" s="138">
        <v>0</v>
      </c>
      <c r="G59" s="40" t="s">
        <v>4</v>
      </c>
      <c r="H59" s="138">
        <v>0</v>
      </c>
      <c r="I59" s="40" t="s">
        <v>4</v>
      </c>
      <c r="J59" s="107"/>
      <c r="K59" s="40"/>
      <c r="L59" s="41"/>
    </row>
    <row r="60" spans="1:28" s="61" customFormat="1" ht="12.75" customHeight="1">
      <c r="A60" s="13"/>
      <c r="B60" s="153" t="s">
        <v>252</v>
      </c>
      <c r="C60" s="137" t="s">
        <v>259</v>
      </c>
      <c r="D60" s="138">
        <v>20</v>
      </c>
      <c r="E60" s="40" t="s">
        <v>4</v>
      </c>
      <c r="F60" s="138">
        <v>0</v>
      </c>
      <c r="G60" s="40" t="s">
        <v>4</v>
      </c>
      <c r="H60" s="138">
        <v>0</v>
      </c>
      <c r="I60" s="40" t="s">
        <v>4</v>
      </c>
      <c r="J60" s="107"/>
      <c r="K60" s="40"/>
      <c r="L60" s="41"/>
    </row>
    <row r="61" spans="1:28" s="61" customFormat="1" ht="12.75" customHeight="1">
      <c r="A61" s="13"/>
      <c r="B61" s="153" t="s">
        <v>253</v>
      </c>
      <c r="C61" s="137"/>
      <c r="D61" s="138"/>
      <c r="E61" s="40" t="s">
        <v>4</v>
      </c>
      <c r="F61" s="138"/>
      <c r="G61" s="40" t="s">
        <v>4</v>
      </c>
      <c r="H61" s="138"/>
      <c r="I61" s="40" t="s">
        <v>4</v>
      </c>
      <c r="J61" s="107"/>
      <c r="K61" s="40"/>
      <c r="L61" s="41"/>
    </row>
    <row r="62" spans="1:28" s="61" customFormat="1" ht="12.75" customHeight="1">
      <c r="A62" s="13"/>
      <c r="B62" s="153" t="s">
        <v>254</v>
      </c>
      <c r="C62" s="137"/>
      <c r="D62" s="138"/>
      <c r="E62" s="40" t="s">
        <v>4</v>
      </c>
      <c r="F62" s="138"/>
      <c r="G62" s="40" t="s">
        <v>4</v>
      </c>
      <c r="H62" s="138"/>
      <c r="I62" s="40" t="s">
        <v>4</v>
      </c>
      <c r="J62" s="107"/>
      <c r="K62" s="40"/>
      <c r="L62" s="41"/>
    </row>
    <row r="63" spans="1:28" s="61" customFormat="1" ht="12.75" customHeight="1">
      <c r="A63" s="13"/>
      <c r="B63" s="153" t="s">
        <v>255</v>
      </c>
      <c r="C63" s="137"/>
      <c r="D63" s="138"/>
      <c r="E63" s="40" t="s">
        <v>4</v>
      </c>
      <c r="F63" s="138"/>
      <c r="G63" s="40" t="s">
        <v>4</v>
      </c>
      <c r="H63" s="138"/>
      <c r="I63" s="40" t="s">
        <v>4</v>
      </c>
      <c r="J63" s="107"/>
      <c r="K63" s="40"/>
      <c r="L63" s="41"/>
    </row>
    <row r="64" spans="1:28" s="61" customFormat="1" ht="12.75" customHeight="1">
      <c r="A64" s="13"/>
      <c r="B64" s="153" t="s">
        <v>256</v>
      </c>
      <c r="C64" s="137"/>
      <c r="D64" s="138"/>
      <c r="E64" s="40" t="s">
        <v>4</v>
      </c>
      <c r="F64" s="138"/>
      <c r="G64" s="40" t="s">
        <v>4</v>
      </c>
      <c r="H64" s="138"/>
      <c r="I64" s="40" t="s">
        <v>4</v>
      </c>
      <c r="J64" s="107"/>
      <c r="K64" s="40"/>
      <c r="L64" s="41"/>
    </row>
    <row r="65" spans="1:14" s="61" customFormat="1" ht="12.75" customHeight="1">
      <c r="A65" s="13"/>
      <c r="B65" s="153" t="s">
        <v>257</v>
      </c>
      <c r="C65" s="137"/>
      <c r="D65" s="138"/>
      <c r="E65" s="40" t="s">
        <v>4</v>
      </c>
      <c r="F65" s="138"/>
      <c r="G65" s="40" t="s">
        <v>4</v>
      </c>
      <c r="H65" s="138"/>
      <c r="I65" s="40" t="s">
        <v>4</v>
      </c>
      <c r="J65" s="107"/>
      <c r="K65" s="40"/>
      <c r="L65" s="41"/>
    </row>
    <row r="66" spans="1:14" s="61" customFormat="1" ht="12.75" customHeight="1">
      <c r="A66" s="13"/>
      <c r="B66" s="190" t="s">
        <v>162</v>
      </c>
      <c r="C66" s="191"/>
      <c r="D66" s="138"/>
      <c r="E66" s="40" t="s">
        <v>4</v>
      </c>
      <c r="F66" s="138"/>
      <c r="G66" s="40" t="s">
        <v>4</v>
      </c>
      <c r="H66" s="138"/>
      <c r="I66" s="40" t="s">
        <v>4</v>
      </c>
      <c r="J66" s="107"/>
      <c r="K66" s="40"/>
      <c r="L66" s="41"/>
    </row>
    <row r="67" spans="1:14" s="61" customFormat="1" ht="12.75">
      <c r="A67" s="13"/>
      <c r="B67" s="75"/>
      <c r="C67" s="75"/>
      <c r="D67" s="139">
        <f>SUM(D58:D66)</f>
        <v>95</v>
      </c>
      <c r="E67" s="140" t="s">
        <v>4</v>
      </c>
      <c r="F67" s="140">
        <f>SUM(F58:F66)</f>
        <v>0</v>
      </c>
      <c r="G67" s="140" t="s">
        <v>4</v>
      </c>
      <c r="H67" s="140">
        <f>SUM(H58:H66)</f>
        <v>0</v>
      </c>
      <c r="I67" s="141" t="s">
        <v>4</v>
      </c>
      <c r="J67" s="108"/>
      <c r="K67" s="108"/>
      <c r="L67" s="79"/>
    </row>
    <row r="68" spans="1:14">
      <c r="A68" s="5"/>
      <c r="B68" s="6"/>
      <c r="C68" s="6"/>
      <c r="D68" s="8"/>
      <c r="E68" s="8"/>
      <c r="F68" s="9"/>
      <c r="G68" s="9"/>
      <c r="H68" s="9"/>
      <c r="I68" s="9"/>
      <c r="J68" s="9"/>
      <c r="K68" s="9"/>
      <c r="L68" s="4"/>
    </row>
    <row r="69" spans="1:14" ht="20.100000000000001" customHeight="1">
      <c r="A69" s="5"/>
      <c r="B69" s="195" t="s">
        <v>52</v>
      </c>
      <c r="C69" s="195"/>
      <c r="D69" s="195"/>
      <c r="E69" s="195"/>
      <c r="F69" s="195"/>
      <c r="G69" s="197"/>
      <c r="H69" s="197"/>
      <c r="I69" s="197"/>
      <c r="J69" s="197"/>
      <c r="K69" s="197"/>
      <c r="L69" s="197"/>
    </row>
    <row r="70" spans="1:14" s="27" customFormat="1" ht="25.5">
      <c r="A70" s="13"/>
      <c r="B70" s="193" t="s">
        <v>80</v>
      </c>
      <c r="C70" s="194"/>
      <c r="D70" s="39"/>
      <c r="E70" s="39"/>
      <c r="F70" s="39"/>
      <c r="G70" s="39"/>
      <c r="H70" s="39"/>
      <c r="I70" s="39"/>
      <c r="J70" s="39"/>
      <c r="K70" s="39" t="s">
        <v>139</v>
      </c>
      <c r="L70" s="39" t="s">
        <v>82</v>
      </c>
    </row>
    <row r="71" spans="1:14" s="33" customFormat="1" ht="12.75">
      <c r="A71" s="13"/>
      <c r="B71" s="189" t="s">
        <v>54</v>
      </c>
      <c r="C71" s="189"/>
      <c r="D71" s="192" t="s">
        <v>124</v>
      </c>
      <c r="E71" s="189"/>
      <c r="F71" s="189"/>
      <c r="G71" s="189"/>
      <c r="H71" s="189"/>
      <c r="I71" s="44"/>
      <c r="J71" s="103" t="str">
        <f>IF(D71=Lijsten!B7,Lijsten!C7,IF(D71=Lijsten!B8,Lijsten!C8,IF(D71=Lijsten!B9,Lijsten!C9,IF(D71=Lijsten!B10,Lijsten!C10,"?"))))</f>
        <v>?</v>
      </c>
      <c r="K71" s="45">
        <v>0</v>
      </c>
      <c r="L71" s="46">
        <f t="shared" ref="L71:L77" si="2">SUM(J71:K71)</f>
        <v>0</v>
      </c>
    </row>
    <row r="72" spans="1:14" s="27" customFormat="1" ht="12.75">
      <c r="A72" s="13"/>
      <c r="B72" s="189" t="s">
        <v>55</v>
      </c>
      <c r="C72" s="189"/>
      <c r="D72" s="192" t="s">
        <v>124</v>
      </c>
      <c r="E72" s="189"/>
      <c r="F72" s="189"/>
      <c r="G72" s="189"/>
      <c r="H72" s="189"/>
      <c r="I72" s="44"/>
      <c r="J72" s="103" t="str">
        <f>IF(D72=Lijsten!D7,Lijsten!E7,IF(D72=Lijsten!D8,Lijsten!E8,IF(D72=Lijsten!D9,Lijsten!E9,IF(D72=Lijsten!D10,Lijsten!E10,"?"))))</f>
        <v>?</v>
      </c>
      <c r="K72" s="45">
        <v>0</v>
      </c>
      <c r="L72" s="46">
        <f t="shared" si="2"/>
        <v>0</v>
      </c>
      <c r="N72" s="33"/>
    </row>
    <row r="73" spans="1:14" s="27" customFormat="1" ht="12.75">
      <c r="A73" s="13"/>
      <c r="B73" s="189" t="s">
        <v>56</v>
      </c>
      <c r="C73" s="189"/>
      <c r="D73" s="192" t="s">
        <v>124</v>
      </c>
      <c r="E73" s="189"/>
      <c r="F73" s="189"/>
      <c r="G73" s="189"/>
      <c r="H73" s="189"/>
      <c r="I73" s="44"/>
      <c r="J73" s="103" t="str">
        <f>IF(D73=Lijsten!F$7,Lijsten!G7,IF(D73=Lijsten!F8,Lijsten!G8,IF(D73=Lijsten!F9,Lijsten!G9,IF(D73=Lijsten!F10,Lijsten!G10,IF(D73=Lijsten!F11,Lijsten!G11,"?")))))</f>
        <v>?</v>
      </c>
      <c r="K73" s="45">
        <v>0</v>
      </c>
      <c r="L73" s="46">
        <f t="shared" si="2"/>
        <v>0</v>
      </c>
      <c r="N73" s="33"/>
    </row>
    <row r="74" spans="1:14" s="27" customFormat="1" ht="12.75">
      <c r="A74" s="13"/>
      <c r="B74" s="189" t="s">
        <v>63</v>
      </c>
      <c r="C74" s="189"/>
      <c r="D74" s="192" t="s">
        <v>124</v>
      </c>
      <c r="E74" s="189"/>
      <c r="F74" s="189"/>
      <c r="G74" s="189"/>
      <c r="H74" s="189"/>
      <c r="I74" s="44"/>
      <c r="J74" s="103" t="str">
        <f>IF(D74=Lijsten!H7,Lijsten!I7,IF(D74=Lijsten!H8,Lijsten!I8,IF(D74=Lijsten!H9,Lijsten!I9,"?")))</f>
        <v>?</v>
      </c>
      <c r="K74" s="45">
        <v>0</v>
      </c>
      <c r="L74" s="46">
        <f t="shared" si="2"/>
        <v>0</v>
      </c>
      <c r="N74" s="33"/>
    </row>
    <row r="75" spans="1:14" s="27" customFormat="1" ht="12.75">
      <c r="A75" s="2"/>
      <c r="B75" s="189" t="s">
        <v>58</v>
      </c>
      <c r="C75" s="189"/>
      <c r="D75" s="192" t="s">
        <v>124</v>
      </c>
      <c r="E75" s="189"/>
      <c r="F75" s="189"/>
      <c r="G75" s="189"/>
      <c r="H75" s="189"/>
      <c r="I75" s="44"/>
      <c r="J75" s="103" t="str">
        <f>IF(D75=Lijsten!J7,Lijsten!K7,IF(D75=Lijsten!J8,Lijsten!K8,"?"))</f>
        <v>?</v>
      </c>
      <c r="K75" s="45">
        <v>0</v>
      </c>
      <c r="L75" s="46">
        <f t="shared" si="2"/>
        <v>0</v>
      </c>
    </row>
    <row r="76" spans="1:14" s="27" customFormat="1" ht="12.75">
      <c r="A76" s="2"/>
      <c r="B76" s="189" t="s">
        <v>60</v>
      </c>
      <c r="C76" s="189"/>
      <c r="D76" s="192" t="s">
        <v>124</v>
      </c>
      <c r="E76" s="189"/>
      <c r="F76" s="189"/>
      <c r="G76" s="189"/>
      <c r="H76" s="189"/>
      <c r="I76" s="44"/>
      <c r="J76" s="103" t="str">
        <f>IF(D76=Lijsten!L7,Lijsten!M7,IF(D76=Lijsten!L8,Lijsten!M8,IF(D76=Lijsten!L9,Lijsten!M9,IF(D76=Lijsten!L10,Lijsten!M10,"?"))))</f>
        <v>?</v>
      </c>
      <c r="K76" s="45">
        <v>0</v>
      </c>
      <c r="L76" s="46">
        <f t="shared" si="2"/>
        <v>0</v>
      </c>
    </row>
    <row r="77" spans="1:14" s="27" customFormat="1" ht="12.75">
      <c r="A77" s="2"/>
      <c r="B77" s="190" t="s">
        <v>62</v>
      </c>
      <c r="C77" s="190"/>
      <c r="D77" s="47"/>
      <c r="E77" s="48"/>
      <c r="F77" s="48"/>
      <c r="G77" s="48"/>
      <c r="H77" s="49"/>
      <c r="I77" s="50"/>
      <c r="J77" s="51"/>
      <c r="K77" s="52">
        <v>0</v>
      </c>
      <c r="L77" s="53">
        <f t="shared" si="2"/>
        <v>0</v>
      </c>
    </row>
    <row r="78" spans="1:14" s="27" customFormat="1" ht="12.75">
      <c r="A78" s="2"/>
      <c r="B78" s="37"/>
      <c r="C78" s="62"/>
      <c r="D78" s="37"/>
      <c r="E78" s="37"/>
      <c r="F78" s="37"/>
      <c r="G78" s="37"/>
      <c r="H78" s="37"/>
      <c r="I78" s="37"/>
      <c r="J78" s="46">
        <f>SUM(J71:J77)</f>
        <v>0</v>
      </c>
      <c r="K78" s="37"/>
      <c r="L78" s="54">
        <f>SUM(L71:L77)</f>
        <v>0</v>
      </c>
    </row>
    <row r="79" spans="1:14" s="27" customFormat="1" ht="12.75">
      <c r="A79" s="2"/>
      <c r="C79" s="61"/>
      <c r="D79" s="55"/>
      <c r="E79" s="55"/>
      <c r="F79" s="37"/>
      <c r="G79" s="37"/>
      <c r="H79" s="37"/>
      <c r="I79" s="37"/>
      <c r="J79" s="37"/>
      <c r="K79" s="37"/>
    </row>
    <row r="80" spans="1:14" s="27" customFormat="1" ht="12.75">
      <c r="A80" s="2"/>
      <c r="C80" s="61"/>
      <c r="D80" s="55"/>
      <c r="E80" s="55"/>
      <c r="F80" s="37"/>
      <c r="G80" s="37"/>
      <c r="H80" s="37"/>
      <c r="I80" s="37"/>
      <c r="J80" s="37"/>
      <c r="K80" s="37"/>
    </row>
    <row r="83" spans="3:4">
      <c r="C83" s="189"/>
      <c r="D83" s="189"/>
    </row>
  </sheetData>
  <sheetProtection password="CA49" sheet="1" objects="1" scenarios="1"/>
  <dataConsolidate/>
  <mergeCells count="44">
    <mergeCell ref="B7:C7"/>
    <mergeCell ref="B2:L2"/>
    <mergeCell ref="B31:L31"/>
    <mergeCell ref="B69:L69"/>
    <mergeCell ref="D71:H71"/>
    <mergeCell ref="D4:H4"/>
    <mergeCell ref="D3:F3"/>
    <mergeCell ref="D6:H9"/>
    <mergeCell ref="D5:H5"/>
    <mergeCell ref="D10:G10"/>
    <mergeCell ref="D13:G13"/>
    <mergeCell ref="D20:G20"/>
    <mergeCell ref="D21:G21"/>
    <mergeCell ref="B4:C4"/>
    <mergeCell ref="B5:C5"/>
    <mergeCell ref="B6:C6"/>
    <mergeCell ref="B8:C8"/>
    <mergeCell ref="B9:C9"/>
    <mergeCell ref="B10:C10"/>
    <mergeCell ref="B11:C11"/>
    <mergeCell ref="B12:C12"/>
    <mergeCell ref="B13:C13"/>
    <mergeCell ref="B14:C14"/>
    <mergeCell ref="B15:C15"/>
    <mergeCell ref="B17:C17"/>
    <mergeCell ref="B20:C20"/>
    <mergeCell ref="B21:C21"/>
    <mergeCell ref="B22:C22"/>
    <mergeCell ref="B23:C23"/>
    <mergeCell ref="B70:C70"/>
    <mergeCell ref="B71:C71"/>
    <mergeCell ref="B76:C76"/>
    <mergeCell ref="B77:C77"/>
    <mergeCell ref="C83:D83"/>
    <mergeCell ref="B66:C66"/>
    <mergeCell ref="B72:C72"/>
    <mergeCell ref="B73:C73"/>
    <mergeCell ref="B74:C74"/>
    <mergeCell ref="B75:C75"/>
    <mergeCell ref="D75:H75"/>
    <mergeCell ref="D76:H76"/>
    <mergeCell ref="D72:H72"/>
    <mergeCell ref="D73:H73"/>
    <mergeCell ref="D74:H74"/>
  </mergeCells>
  <conditionalFormatting sqref="K10">
    <cfRule type="cellIs" dxfId="4" priority="1" operator="equal">
      <formula>"FOUT"</formula>
    </cfRule>
  </conditionalFormatting>
  <dataValidations disablePrompts="1" count="8">
    <dataValidation type="list" allowBlank="1" showInputMessage="1" showErrorMessage="1" sqref="D71:H71">
      <formula1>vormelijkecomplexiteit</formula1>
    </dataValidation>
    <dataValidation type="list" allowBlank="1" showInputMessage="1" showErrorMessage="1" sqref="D72:H72">
      <formula1>compactheid</formula1>
    </dataValidation>
    <dataValidation type="list" allowBlank="1" showInputMessage="1" showErrorMessage="1" sqref="D73:H73">
      <formula1>duurzaamheideis</formula1>
    </dataValidation>
    <dataValidation type="list" allowBlank="1" showInputMessage="1" showErrorMessage="1" sqref="D74:H74">
      <formula1>afwerkingsgraad</formula1>
    </dataValidation>
    <dataValidation type="list" allowBlank="1" showInputMessage="1" showErrorMessage="1" sqref="D75:H75">
      <formula1>convenantlevenslangwonen</formula1>
    </dataValidation>
    <dataValidation type="list" allowBlank="1" showInputMessage="1" showErrorMessage="1" sqref="D76:H76">
      <formula1>nieuwbouwverbouwing</formula1>
    </dataValidation>
    <dataValidation type="list" allowBlank="1" showInputMessage="1" showErrorMessage="1" sqref="H25:H29">
      <formula1>janee</formula1>
    </dataValidation>
    <dataValidation type="list" allowBlank="1" showInputMessage="1" showErrorMessage="1" sqref="H19">
      <formula1>overdrachtsformule</formula1>
    </dataValidation>
  </dataValidations>
  <printOptions gridLines="1"/>
  <pageMargins left="0.70866141732283472" right="0.70866141732283472" top="0.74803149606299213" bottom="0.74803149606299213" header="0.31496062992125984" footer="0.31496062992125984"/>
  <pageSetup paperSize="8" scale="86" orientation="portrait" r:id="rId1"/>
  <ignoredErrors>
    <ignoredError sqref="D34:D36 D42:D43"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Lijsten!$B$6:$B$10</xm:f>
          </x14:formula1>
          <xm:sqref>D71:H71</xm:sqref>
        </x14:dataValidation>
        <x14:dataValidation type="list" allowBlank="1" showInputMessage="1" showErrorMessage="1">
          <x14:formula1>
            <xm:f>Lijsten!$D$6:$D$10</xm:f>
          </x14:formula1>
          <xm:sqref>D72:H72</xm:sqref>
        </x14:dataValidation>
        <x14:dataValidation type="list" allowBlank="1" showInputMessage="1" showErrorMessage="1">
          <x14:formula1>
            <xm:f>Lijsten!$F$6:$F$10</xm:f>
          </x14:formula1>
          <xm:sqref>D73:H73</xm:sqref>
        </x14:dataValidation>
        <x14:dataValidation type="list" allowBlank="1" showInputMessage="1" showErrorMessage="1">
          <x14:formula1>
            <xm:f>Lijsten!$H$6:$H$9</xm:f>
          </x14:formula1>
          <xm:sqref>D74:H74</xm:sqref>
        </x14:dataValidation>
        <x14:dataValidation type="list" allowBlank="1" showInputMessage="1" showErrorMessage="1">
          <x14:formula1>
            <xm:f>Lijsten!$J$6:$J$8</xm:f>
          </x14:formula1>
          <xm:sqref>D75:H75</xm:sqref>
        </x14:dataValidation>
        <x14:dataValidation type="list" allowBlank="1" showInputMessage="1" showErrorMessage="1">
          <x14:formula1>
            <xm:f>Lijsten!$L$6:$L$9</xm:f>
          </x14:formula1>
          <xm:sqref>D76:H76</xm:sqref>
        </x14:dataValidation>
        <x14:dataValidation type="list" allowBlank="1" showInputMessage="1" showErrorMessage="1">
          <x14:formula1>
            <xm:f>Lijsten!$N$6:$N$8</xm:f>
          </x14:formula1>
          <xm:sqref>H25:H29</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I92"/>
  <sheetViews>
    <sheetView topLeftCell="A22" zoomScaleNormal="100" zoomScaleSheetLayoutView="85" workbookViewId="0">
      <selection activeCell="F80" sqref="F80"/>
    </sheetView>
  </sheetViews>
  <sheetFormatPr defaultRowHeight="15"/>
  <cols>
    <col min="1" max="1" width="20.42578125" style="1" customWidth="1"/>
    <col min="2" max="2" width="44" customWidth="1"/>
    <col min="3" max="3" width="14.85546875" style="2" customWidth="1"/>
    <col min="4" max="4" width="11.85546875" style="2" customWidth="1"/>
    <col min="5" max="5" width="12.28515625" style="2" customWidth="1"/>
    <col min="6" max="6" width="15.7109375" style="2" customWidth="1"/>
    <col min="7" max="7" width="16.7109375" style="16" customWidth="1"/>
    <col min="8" max="8" width="7.5703125" style="16" customWidth="1"/>
    <col min="9" max="9" width="100" style="23" customWidth="1"/>
  </cols>
  <sheetData>
    <row r="1" spans="1:9" ht="66.75" customHeight="1">
      <c r="A1" s="2"/>
    </row>
    <row r="2" spans="1:9" s="58" customFormat="1" ht="20.100000000000001" customHeight="1">
      <c r="A2" s="2"/>
      <c r="B2" s="195" t="s">
        <v>153</v>
      </c>
      <c r="C2" s="195"/>
      <c r="D2" s="195"/>
      <c r="E2" s="195"/>
      <c r="F2" s="195"/>
      <c r="G2" s="195"/>
      <c r="H2" s="195"/>
      <c r="I2" s="195"/>
    </row>
    <row r="3" spans="1:9" s="58" customFormat="1" ht="12.75" customHeight="1">
      <c r="A3" s="2"/>
      <c r="B3" s="39" t="s">
        <v>81</v>
      </c>
      <c r="C3" s="39" t="s">
        <v>83</v>
      </c>
      <c r="D3" s="39" t="s">
        <v>84</v>
      </c>
      <c r="E3" s="39" t="s">
        <v>85</v>
      </c>
      <c r="F3" s="39"/>
      <c r="G3" s="39"/>
    </row>
    <row r="4" spans="1:9" s="58" customFormat="1" ht="12.75" customHeight="1">
      <c r="A4" s="2"/>
      <c r="B4" s="59" t="s">
        <v>86</v>
      </c>
      <c r="C4" s="71">
        <v>40909</v>
      </c>
      <c r="D4" s="63">
        <v>705</v>
      </c>
      <c r="E4" s="68">
        <v>40848</v>
      </c>
      <c r="G4" s="46"/>
    </row>
    <row r="5" spans="1:9" s="58" customFormat="1" ht="12.75" customHeight="1">
      <c r="A5" s="2"/>
      <c r="B5" s="59" t="s">
        <v>87</v>
      </c>
      <c r="C5" s="64">
        <f>Algemeen!D5</f>
        <v>41989</v>
      </c>
      <c r="D5" s="66"/>
      <c r="E5" s="65"/>
      <c r="F5" s="63"/>
      <c r="G5" s="46"/>
    </row>
    <row r="6" spans="1:9" s="58" customFormat="1" ht="12.75" customHeight="1">
      <c r="A6" s="2"/>
      <c r="B6" s="59" t="s">
        <v>88</v>
      </c>
      <c r="C6" s="109">
        <f>Algemeen!H22</f>
        <v>43525</v>
      </c>
      <c r="D6" s="59"/>
      <c r="E6" s="59"/>
      <c r="F6" s="59"/>
      <c r="G6" s="46"/>
    </row>
    <row r="7" spans="1:9" s="58" customFormat="1" ht="12.75" customHeight="1">
      <c r="A7" s="2"/>
      <c r="B7" s="59" t="s">
        <v>89</v>
      </c>
      <c r="C7" s="109">
        <f>Algemeen!H23</f>
        <v>44440</v>
      </c>
      <c r="D7" s="59"/>
      <c r="E7" s="59"/>
      <c r="F7" s="59"/>
      <c r="G7" s="46"/>
    </row>
    <row r="8" spans="1:9" s="58" customFormat="1" ht="12.75" customHeight="1">
      <c r="A8" s="2"/>
      <c r="B8" s="59" t="s">
        <v>90</v>
      </c>
      <c r="C8" s="69" t="s">
        <v>91</v>
      </c>
      <c r="D8" s="63">
        <v>739</v>
      </c>
      <c r="E8" s="70" t="s">
        <v>92</v>
      </c>
      <c r="F8" s="57">
        <f>D8/D4</f>
        <v>1.04822695035461</v>
      </c>
      <c r="G8" s="46"/>
    </row>
    <row r="9" spans="1:9" s="58" customFormat="1" ht="12.75" customHeight="1">
      <c r="A9" s="2"/>
      <c r="B9" s="59" t="s">
        <v>93</v>
      </c>
      <c r="D9" s="65">
        <f>(C6-C5)/365</f>
        <v>4.2082191780821914</v>
      </c>
      <c r="E9" s="66">
        <v>1</v>
      </c>
      <c r="F9" s="67">
        <f>D9*E9</f>
        <v>4.2082191780821914</v>
      </c>
      <c r="G9" s="46"/>
    </row>
    <row r="10" spans="1:9" s="58" customFormat="1" ht="12.75" customHeight="1">
      <c r="A10" s="2"/>
      <c r="B10" s="59" t="s">
        <v>94</v>
      </c>
      <c r="D10" s="65">
        <f>(C7-C6)/365</f>
        <v>2.506849315068493</v>
      </c>
      <c r="E10" s="66">
        <v>0.6</v>
      </c>
      <c r="F10" s="67">
        <f>D10*E10</f>
        <v>1.5041095890410958</v>
      </c>
      <c r="G10" s="46"/>
    </row>
    <row r="11" spans="1:9" s="58" customFormat="1" ht="12.75" customHeight="1">
      <c r="A11" s="2"/>
      <c r="B11" s="60" t="s">
        <v>95</v>
      </c>
      <c r="D11" s="65"/>
      <c r="E11" s="66"/>
      <c r="F11" s="67">
        <f>SUM(F9:F10)</f>
        <v>5.712328767123287</v>
      </c>
      <c r="G11" s="17"/>
    </row>
    <row r="12" spans="1:9" s="58" customFormat="1" ht="12.75" customHeight="1">
      <c r="A12" s="2"/>
      <c r="B12" s="59" t="s">
        <v>96</v>
      </c>
      <c r="C12" s="59"/>
      <c r="D12" s="105">
        <v>2.5999999999999999E-2</v>
      </c>
      <c r="E12" s="59" t="s">
        <v>97</v>
      </c>
      <c r="F12" s="57">
        <f>D12*F11</f>
        <v>0.14852054794520544</v>
      </c>
      <c r="G12"/>
    </row>
    <row r="13" spans="1:9" s="58" customFormat="1" ht="12.75" customHeight="1">
      <c r="A13" s="2"/>
      <c r="B13" s="48" t="s">
        <v>98</v>
      </c>
      <c r="C13" s="112"/>
      <c r="D13" s="112"/>
      <c r="E13" s="112"/>
      <c r="F13" s="113">
        <f>F8+F12</f>
        <v>1.1967474982998154</v>
      </c>
      <c r="G13" s="112"/>
    </row>
    <row r="14" spans="1:9" s="58" customFormat="1" ht="12.75" customHeight="1">
      <c r="A14" s="2"/>
      <c r="B14" s="30" t="s">
        <v>154</v>
      </c>
      <c r="C14" s="110"/>
      <c r="D14" s="110"/>
      <c r="E14" s="110"/>
      <c r="F14" s="110"/>
      <c r="G14" s="111">
        <f>F13+Algemeen!L78</f>
        <v>1.1967474982998154</v>
      </c>
      <c r="I14"/>
    </row>
    <row r="15" spans="1:9" s="58" customFormat="1" ht="12.75" customHeight="1">
      <c r="A15" s="2"/>
      <c r="C15" s="2"/>
      <c r="D15" s="2"/>
      <c r="E15" s="2"/>
      <c r="F15" s="2"/>
      <c r="G15" s="16"/>
      <c r="H15" s="16"/>
      <c r="I15" s="23"/>
    </row>
    <row r="16" spans="1:9" s="58" customFormat="1" ht="12.75" customHeight="1">
      <c r="A16" s="2"/>
      <c r="C16" s="2"/>
      <c r="D16" s="2"/>
      <c r="E16" s="2"/>
      <c r="F16" s="2"/>
      <c r="G16" s="16"/>
      <c r="H16" s="16"/>
      <c r="I16" s="23"/>
    </row>
    <row r="17" spans="1:9" ht="20.100000000000001" customHeight="1">
      <c r="A17" s="3"/>
      <c r="B17" s="195" t="s">
        <v>40</v>
      </c>
      <c r="C17" s="195"/>
      <c r="D17" s="195"/>
      <c r="E17" s="195"/>
      <c r="F17" s="195"/>
      <c r="G17" s="195"/>
      <c r="H17" s="195"/>
      <c r="I17" s="195"/>
    </row>
    <row r="18" spans="1:9" s="27" customFormat="1" ht="25.5">
      <c r="A18" s="2"/>
      <c r="B18" s="24"/>
      <c r="C18" s="39" t="s">
        <v>64</v>
      </c>
      <c r="D18" s="39" t="s">
        <v>140</v>
      </c>
      <c r="E18" s="39" t="s">
        <v>44</v>
      </c>
      <c r="F18" s="39"/>
      <c r="G18" s="39" t="s">
        <v>45</v>
      </c>
      <c r="H18" s="24"/>
      <c r="I18" s="24" t="s">
        <v>46</v>
      </c>
    </row>
    <row r="19" spans="1:9" s="27" customFormat="1" ht="12.75">
      <c r="A19" s="2"/>
      <c r="B19" s="27" t="s">
        <v>5</v>
      </c>
      <c r="C19" s="2" t="s">
        <v>39</v>
      </c>
      <c r="D19" s="2"/>
      <c r="E19" s="2"/>
      <c r="F19" s="2"/>
      <c r="G19" s="158">
        <v>965000</v>
      </c>
      <c r="H19" s="28"/>
      <c r="I19" s="23"/>
    </row>
    <row r="20" spans="1:9" s="27" customFormat="1" ht="12.75">
      <c r="A20" s="2"/>
      <c r="B20" s="27" t="s">
        <v>6</v>
      </c>
      <c r="C20" s="2" t="s">
        <v>39</v>
      </c>
      <c r="D20" s="10">
        <v>0.1</v>
      </c>
      <c r="E20" s="22">
        <f>G19</f>
        <v>965000</v>
      </c>
      <c r="F20" s="22"/>
      <c r="G20" s="28">
        <f>G19*10%</f>
        <v>96500</v>
      </c>
      <c r="H20" s="28"/>
      <c r="I20" s="23"/>
    </row>
    <row r="21" spans="1:9" s="27" customFormat="1" ht="12.75">
      <c r="A21" s="2"/>
      <c r="B21" s="27" t="s">
        <v>11</v>
      </c>
      <c r="C21" s="2" t="s">
        <v>39</v>
      </c>
      <c r="D21" s="2" t="s">
        <v>33</v>
      </c>
      <c r="E21" s="22">
        <f>G19</f>
        <v>965000</v>
      </c>
      <c r="F21" s="22"/>
      <c r="G21" s="158">
        <v>2860</v>
      </c>
      <c r="H21" s="28"/>
      <c r="I21" s="23" t="s">
        <v>274</v>
      </c>
    </row>
    <row r="22" spans="1:9" s="27" customFormat="1" ht="12.75">
      <c r="A22" s="2"/>
      <c r="B22" s="27" t="s">
        <v>7</v>
      </c>
      <c r="C22" s="2"/>
      <c r="D22" s="2"/>
      <c r="E22" s="2"/>
      <c r="F22" s="2"/>
      <c r="G22" s="158">
        <v>1100</v>
      </c>
      <c r="H22" s="28"/>
      <c r="I22" s="23" t="s">
        <v>274</v>
      </c>
    </row>
    <row r="23" spans="1:9" s="27" customFormat="1" ht="12.75">
      <c r="A23" s="2"/>
      <c r="B23" s="27" t="s">
        <v>8</v>
      </c>
      <c r="C23" s="2"/>
      <c r="D23" s="2"/>
      <c r="E23" s="2"/>
      <c r="F23" s="2"/>
      <c r="G23" s="158">
        <v>6500</v>
      </c>
      <c r="H23" s="28"/>
      <c r="I23" s="23" t="s">
        <v>277</v>
      </c>
    </row>
    <row r="24" spans="1:9" s="27" customFormat="1" ht="12.75">
      <c r="A24" s="2"/>
      <c r="B24" s="27" t="s">
        <v>9</v>
      </c>
      <c r="C24" s="2" t="s">
        <v>35</v>
      </c>
      <c r="D24" s="2"/>
      <c r="E24" s="2"/>
      <c r="F24" s="2"/>
      <c r="G24" s="130">
        <f>IF(Algemeen!H28=Lijsten!$N$7,1500,0)</f>
        <v>0</v>
      </c>
      <c r="H24" s="28"/>
      <c r="I24" s="23" t="s">
        <v>47</v>
      </c>
    </row>
    <row r="25" spans="1:9" s="27" customFormat="1" ht="12.75">
      <c r="A25" s="2"/>
      <c r="B25" s="29" t="s">
        <v>12</v>
      </c>
      <c r="C25" s="11" t="s">
        <v>35</v>
      </c>
      <c r="D25" s="11"/>
      <c r="E25" s="11"/>
      <c r="F25" s="11"/>
      <c r="G25" s="131">
        <f>IF(Algemeen!H29=Lijsten!$N$7,5000,0)</f>
        <v>0</v>
      </c>
      <c r="H25" s="34"/>
      <c r="I25" s="23" t="s">
        <v>37</v>
      </c>
    </row>
    <row r="26" spans="1:9" s="27" customFormat="1" ht="12.75">
      <c r="A26" s="2"/>
      <c r="B26" s="30" t="s">
        <v>13</v>
      </c>
      <c r="C26" s="12"/>
      <c r="D26" s="12"/>
      <c r="E26" s="12"/>
      <c r="F26" s="12"/>
      <c r="G26" s="35">
        <f>SUM(G19:G25)</f>
        <v>1071960</v>
      </c>
      <c r="H26" s="35"/>
      <c r="I26" s="23"/>
    </row>
    <row r="27" spans="1:9">
      <c r="G27" s="20"/>
      <c r="H27" s="20"/>
    </row>
    <row r="28" spans="1:9">
      <c r="G28" s="20"/>
      <c r="H28" s="20"/>
    </row>
    <row r="29" spans="1:9" s="58" customFormat="1" ht="20.100000000000001" customHeight="1">
      <c r="A29" s="3"/>
      <c r="B29" s="195" t="s">
        <v>265</v>
      </c>
      <c r="C29" s="195"/>
      <c r="D29" s="195"/>
      <c r="E29" s="195"/>
      <c r="F29" s="195"/>
      <c r="G29" s="195"/>
      <c r="H29" s="195"/>
      <c r="I29" s="195"/>
    </row>
    <row r="30" spans="1:9" s="61" customFormat="1" ht="25.5">
      <c r="A30" s="2"/>
      <c r="B30" s="24"/>
      <c r="C30" s="156" t="s">
        <v>64</v>
      </c>
      <c r="D30" s="156" t="s">
        <v>140</v>
      </c>
      <c r="E30" s="156" t="s">
        <v>44</v>
      </c>
      <c r="F30" s="156"/>
      <c r="G30" s="156" t="s">
        <v>45</v>
      </c>
      <c r="H30" s="24"/>
      <c r="I30" s="24" t="s">
        <v>46</v>
      </c>
    </row>
    <row r="31" spans="1:9" s="61" customFormat="1" ht="12.75">
      <c r="A31" s="2"/>
      <c r="B31" s="61" t="s">
        <v>266</v>
      </c>
      <c r="C31" s="2" t="s">
        <v>39</v>
      </c>
      <c r="D31" s="2"/>
      <c r="E31" s="2"/>
      <c r="F31" s="2"/>
      <c r="G31" s="158">
        <f>13865</f>
        <v>13865</v>
      </c>
      <c r="H31" s="28"/>
      <c r="I31" s="23" t="s">
        <v>279</v>
      </c>
    </row>
    <row r="32" spans="1:9" s="61" customFormat="1" ht="12.75">
      <c r="A32" s="2"/>
      <c r="B32" s="61" t="s">
        <v>6</v>
      </c>
      <c r="C32" s="2" t="s">
        <v>39</v>
      </c>
      <c r="D32" s="175">
        <v>0.02</v>
      </c>
      <c r="E32" s="176">
        <v>99</v>
      </c>
      <c r="F32" s="22" t="s">
        <v>275</v>
      </c>
      <c r="G32" s="158">
        <f>G31*E32*D32</f>
        <v>27452.7</v>
      </c>
      <c r="H32" s="28"/>
      <c r="I32" s="23"/>
    </row>
    <row r="33" spans="1:9" s="61" customFormat="1" ht="12.75">
      <c r="A33" s="2"/>
      <c r="B33" s="61" t="s">
        <v>11</v>
      </c>
      <c r="C33" s="2" t="s">
        <v>39</v>
      </c>
      <c r="D33" s="172"/>
      <c r="E33" s="171"/>
      <c r="F33" s="22"/>
      <c r="G33" s="158">
        <v>2000</v>
      </c>
      <c r="H33" s="28"/>
      <c r="I33" s="23"/>
    </row>
    <row r="34" spans="1:9" s="61" customFormat="1" ht="12.75">
      <c r="A34" s="2"/>
      <c r="B34" s="61" t="s">
        <v>267</v>
      </c>
      <c r="C34" s="2"/>
      <c r="D34" s="2"/>
      <c r="E34" s="2"/>
      <c r="F34" s="2"/>
      <c r="G34" s="158">
        <f>G22</f>
        <v>1100</v>
      </c>
      <c r="H34" s="28"/>
      <c r="I34" s="23"/>
    </row>
    <row r="35" spans="1:9" s="61" customFormat="1" ht="12.75">
      <c r="A35" s="2"/>
      <c r="B35" s="61" t="s">
        <v>8</v>
      </c>
      <c r="C35" s="2"/>
      <c r="D35" s="2"/>
      <c r="E35" s="2"/>
      <c r="F35" s="2"/>
      <c r="G35" s="158">
        <f>G23</f>
        <v>6500</v>
      </c>
      <c r="H35" s="28"/>
      <c r="I35" s="23" t="s">
        <v>10</v>
      </c>
    </row>
    <row r="36" spans="1:9" s="61" customFormat="1" ht="12.75">
      <c r="A36" s="2"/>
      <c r="B36" s="61" t="s">
        <v>9</v>
      </c>
      <c r="C36" s="2" t="s">
        <v>35</v>
      </c>
      <c r="D36" s="2"/>
      <c r="E36" s="2"/>
      <c r="F36" s="2"/>
      <c r="G36" s="158">
        <f t="shared" ref="G36:G37" si="0">G24</f>
        <v>0</v>
      </c>
      <c r="H36" s="28"/>
      <c r="I36" s="23" t="s">
        <v>47</v>
      </c>
    </row>
    <row r="37" spans="1:9" s="61" customFormat="1" ht="12.75">
      <c r="A37" s="2"/>
      <c r="B37" s="29" t="s">
        <v>12</v>
      </c>
      <c r="C37" s="11" t="s">
        <v>35</v>
      </c>
      <c r="D37" s="11"/>
      <c r="E37" s="11"/>
      <c r="F37" s="11"/>
      <c r="G37" s="159">
        <f t="shared" si="0"/>
        <v>0</v>
      </c>
      <c r="H37" s="34"/>
      <c r="I37" s="23" t="s">
        <v>37</v>
      </c>
    </row>
    <row r="38" spans="1:9" s="61" customFormat="1" ht="12.75">
      <c r="A38" s="2"/>
      <c r="B38" s="30" t="s">
        <v>283</v>
      </c>
      <c r="C38" s="12"/>
      <c r="D38" s="12"/>
      <c r="E38" s="12"/>
      <c r="F38" s="12"/>
      <c r="G38" s="35">
        <f>SUM(G32:G37)</f>
        <v>37052.699999999997</v>
      </c>
      <c r="H38" s="35"/>
      <c r="I38" s="23"/>
    </row>
    <row r="39" spans="1:9" s="58" customFormat="1">
      <c r="A39" s="26"/>
      <c r="C39" s="2"/>
      <c r="D39" s="2"/>
      <c r="E39" s="2"/>
      <c r="F39" s="2"/>
      <c r="G39" s="20"/>
      <c r="H39" s="20"/>
      <c r="I39" s="23"/>
    </row>
    <row r="40" spans="1:9" s="58" customFormat="1">
      <c r="A40" s="26"/>
      <c r="C40" s="2"/>
      <c r="D40" s="2"/>
      <c r="E40" s="2"/>
      <c r="F40" s="2"/>
      <c r="G40" s="20"/>
      <c r="H40" s="20"/>
      <c r="I40" s="23"/>
    </row>
    <row r="41" spans="1:9" ht="20.100000000000001" customHeight="1">
      <c r="B41" s="195" t="s">
        <v>41</v>
      </c>
      <c r="C41" s="195"/>
      <c r="D41" s="195"/>
      <c r="E41" s="195"/>
      <c r="F41" s="195"/>
      <c r="G41" s="195"/>
      <c r="H41" s="195"/>
      <c r="I41" s="195"/>
    </row>
    <row r="42" spans="1:9" s="27" customFormat="1" ht="25.5">
      <c r="A42" s="2"/>
      <c r="B42" s="24"/>
      <c r="C42" s="24" t="s">
        <v>64</v>
      </c>
      <c r="D42" s="24"/>
      <c r="E42" s="24"/>
      <c r="F42" s="24"/>
      <c r="G42" s="39" t="s">
        <v>45</v>
      </c>
      <c r="H42" s="24"/>
      <c r="I42" s="24" t="s">
        <v>46</v>
      </c>
    </row>
    <row r="43" spans="1:9" s="27" customFormat="1" ht="12.75">
      <c r="A43" s="2"/>
      <c r="B43" s="27" t="s">
        <v>14</v>
      </c>
      <c r="C43" s="2"/>
      <c r="D43" s="2"/>
      <c r="E43" s="2"/>
      <c r="F43" s="2"/>
      <c r="G43" s="28">
        <v>3500</v>
      </c>
      <c r="H43" s="28"/>
      <c r="I43" s="23"/>
    </row>
    <row r="44" spans="1:9" s="27" customFormat="1" ht="12.75">
      <c r="A44" s="2"/>
      <c r="B44" s="27" t="s">
        <v>15</v>
      </c>
      <c r="C44" s="2"/>
      <c r="D44" s="2"/>
      <c r="E44" s="2"/>
      <c r="F44" s="2"/>
      <c r="G44" s="28">
        <v>5000</v>
      </c>
      <c r="H44" s="28"/>
      <c r="I44" s="23"/>
    </row>
    <row r="45" spans="1:9" s="27" customFormat="1" ht="12.75">
      <c r="A45" s="2"/>
      <c r="B45" s="27" t="s">
        <v>16</v>
      </c>
      <c r="C45" s="2"/>
      <c r="D45" s="2"/>
      <c r="E45" s="2"/>
      <c r="F45" s="2"/>
      <c r="G45" s="28">
        <v>2500</v>
      </c>
      <c r="H45" s="28"/>
      <c r="I45" s="23"/>
    </row>
    <row r="46" spans="1:9" s="27" customFormat="1" ht="12.75">
      <c r="A46" s="2"/>
      <c r="B46" s="61" t="s">
        <v>262</v>
      </c>
      <c r="C46" s="2"/>
      <c r="D46" s="2"/>
      <c r="E46" s="2"/>
      <c r="F46" s="2"/>
      <c r="G46" s="28">
        <v>2500</v>
      </c>
      <c r="H46" s="28"/>
      <c r="I46" s="23"/>
    </row>
    <row r="47" spans="1:9" s="27" customFormat="1" ht="12.75">
      <c r="A47" s="2"/>
      <c r="B47" s="33" t="s">
        <v>17</v>
      </c>
      <c r="C47" s="13" t="s">
        <v>35</v>
      </c>
      <c r="D47" s="13"/>
      <c r="E47" s="13"/>
      <c r="F47" s="13"/>
      <c r="G47" s="130">
        <f>IF(Algemeen!H26=Lijsten!$N$7,10000,0)</f>
        <v>0</v>
      </c>
      <c r="H47" s="34"/>
      <c r="I47" s="23"/>
    </row>
    <row r="48" spans="1:9" s="27" customFormat="1" ht="12.75">
      <c r="A48" s="2"/>
      <c r="B48" s="33" t="s">
        <v>34</v>
      </c>
      <c r="C48" s="13"/>
      <c r="D48" s="13"/>
      <c r="E48" s="13"/>
      <c r="F48" s="13"/>
      <c r="G48" s="34">
        <v>20000</v>
      </c>
      <c r="H48" s="34"/>
      <c r="I48" s="23"/>
    </row>
    <row r="49" spans="1:9" s="33" customFormat="1" ht="12.75">
      <c r="A49" s="13"/>
      <c r="B49" s="29" t="s">
        <v>19</v>
      </c>
      <c r="C49" s="11"/>
      <c r="D49" s="11"/>
      <c r="E49" s="11"/>
      <c r="F49" s="11"/>
      <c r="G49" s="177">
        <f>1944*(Algemeen!H22+6*30-Algemeen!H21)/365</f>
        <v>1922.695890410959</v>
      </c>
      <c r="H49" s="34"/>
      <c r="I49" s="23" t="s">
        <v>264</v>
      </c>
    </row>
    <row r="50" spans="1:9" s="27" customFormat="1" ht="12.75">
      <c r="A50" s="2"/>
      <c r="B50" s="30" t="s">
        <v>18</v>
      </c>
      <c r="C50" s="12"/>
      <c r="D50" s="12"/>
      <c r="E50" s="12"/>
      <c r="F50" s="12"/>
      <c r="G50" s="35">
        <f>SUM(G43:G49)</f>
        <v>35422.695890410956</v>
      </c>
      <c r="H50" s="35"/>
      <c r="I50" s="23"/>
    </row>
    <row r="51" spans="1:9" s="15" customFormat="1">
      <c r="A51" s="19"/>
      <c r="B51" s="18"/>
      <c r="C51" s="12"/>
      <c r="D51" s="12"/>
      <c r="E51" s="12"/>
      <c r="F51" s="12"/>
      <c r="G51" s="21"/>
      <c r="H51" s="21"/>
      <c r="I51" s="23"/>
    </row>
    <row r="52" spans="1:9">
      <c r="G52" s="20"/>
      <c r="H52" s="20"/>
    </row>
    <row r="53" spans="1:9" ht="20.100000000000001" customHeight="1">
      <c r="B53" s="195" t="s">
        <v>42</v>
      </c>
      <c r="C53" s="195"/>
      <c r="D53" s="195"/>
      <c r="E53" s="195"/>
      <c r="F53" s="195"/>
      <c r="G53" s="195"/>
      <c r="H53" s="195"/>
      <c r="I53" s="195"/>
    </row>
    <row r="54" spans="1:9" s="27" customFormat="1" ht="25.5">
      <c r="A54" s="2"/>
      <c r="B54" s="24"/>
      <c r="C54" s="24"/>
      <c r="D54" s="39" t="s">
        <v>65</v>
      </c>
      <c r="E54" s="39" t="s">
        <v>67</v>
      </c>
      <c r="F54" s="39" t="s">
        <v>66</v>
      </c>
      <c r="G54" s="39" t="s">
        <v>45</v>
      </c>
      <c r="H54" s="24"/>
      <c r="I54" s="24" t="s">
        <v>46</v>
      </c>
    </row>
    <row r="55" spans="1:9" s="27" customFormat="1" ht="12.75">
      <c r="A55" s="2"/>
      <c r="B55" s="27" t="s">
        <v>20</v>
      </c>
      <c r="C55" s="2"/>
      <c r="D55" s="2"/>
      <c r="E55" s="2"/>
      <c r="F55" s="2"/>
      <c r="G55" s="158">
        <v>30000</v>
      </c>
      <c r="H55" s="28"/>
      <c r="I55" s="23" t="s">
        <v>263</v>
      </c>
    </row>
    <row r="56" spans="1:9" s="27" customFormat="1" ht="12.75">
      <c r="A56" s="2"/>
      <c r="B56" s="27" t="s">
        <v>50</v>
      </c>
      <c r="C56" s="2"/>
      <c r="D56" s="25">
        <f>Algemeen!D54</f>
        <v>1392</v>
      </c>
      <c r="E56" s="25">
        <v>1100</v>
      </c>
      <c r="F56" s="129">
        <f>E56*Kosten!$G$14</f>
        <v>1316.422248129797</v>
      </c>
      <c r="G56" s="28">
        <f>D56*F56</f>
        <v>1832459.7693966774</v>
      </c>
      <c r="H56" s="28"/>
      <c r="I56" s="23" t="s">
        <v>117</v>
      </c>
    </row>
    <row r="57" spans="1:9" s="27" customFormat="1" ht="12.75">
      <c r="A57" s="2"/>
      <c r="B57" s="27" t="s">
        <v>156</v>
      </c>
      <c r="C57" s="2"/>
      <c r="D57" s="25">
        <f>Algemeen!F54</f>
        <v>71</v>
      </c>
      <c r="E57" s="2">
        <v>650</v>
      </c>
      <c r="F57" s="129">
        <f>E57*Kosten!$G$14</f>
        <v>777.88587389487998</v>
      </c>
      <c r="G57" s="28">
        <f t="shared" ref="G57:G65" si="1">D57*F57</f>
        <v>55229.897046536476</v>
      </c>
      <c r="H57" s="28"/>
      <c r="I57" s="23"/>
    </row>
    <row r="58" spans="1:9" s="27" customFormat="1" ht="12.75">
      <c r="A58" s="2"/>
      <c r="B58" s="27" t="s">
        <v>157</v>
      </c>
      <c r="C58" s="2"/>
      <c r="D58" s="25">
        <f>Algemeen!H54</f>
        <v>16</v>
      </c>
      <c r="E58" s="2">
        <v>375</v>
      </c>
      <c r="F58" s="129">
        <f>E58*Kosten!$G$14</f>
        <v>448.78031186243078</v>
      </c>
      <c r="G58" s="28">
        <f t="shared" si="1"/>
        <v>7180.4849897988925</v>
      </c>
      <c r="H58" s="28"/>
      <c r="I58" s="23"/>
    </row>
    <row r="59" spans="1:9" s="27" customFormat="1" ht="12.75">
      <c r="A59" s="2"/>
      <c r="B59" s="27" t="s">
        <v>144</v>
      </c>
      <c r="C59" s="2"/>
      <c r="D59" s="25">
        <f>Algemeen!J54</f>
        <v>30</v>
      </c>
      <c r="E59" s="2">
        <v>80</v>
      </c>
      <c r="F59" s="129">
        <f>E59*Kosten!$G$14</f>
        <v>95.73979986398524</v>
      </c>
      <c r="G59" s="28">
        <f>D59*F59</f>
        <v>2872.193995919557</v>
      </c>
      <c r="H59" s="28"/>
      <c r="I59" s="23"/>
    </row>
    <row r="60" spans="1:9" s="27" customFormat="1" ht="12.75">
      <c r="A60" s="2"/>
      <c r="B60" s="27" t="s">
        <v>49</v>
      </c>
      <c r="C60" s="2"/>
      <c r="D60" s="25">
        <f>Algemeen!D67</f>
        <v>95</v>
      </c>
      <c r="E60" s="25">
        <v>1100</v>
      </c>
      <c r="F60" s="129">
        <f>E60*Kosten!$G$14</f>
        <v>1316.422248129797</v>
      </c>
      <c r="G60" s="28">
        <f>D60*F60</f>
        <v>125060.11357233072</v>
      </c>
      <c r="H60" s="28"/>
      <c r="I60" s="23" t="s">
        <v>148</v>
      </c>
    </row>
    <row r="61" spans="1:9" s="61" customFormat="1" ht="12.75">
      <c r="A61" s="2"/>
      <c r="B61" s="61" t="s">
        <v>158</v>
      </c>
      <c r="C61" s="2"/>
      <c r="D61" s="25">
        <f>Algemeen!F67</f>
        <v>0</v>
      </c>
      <c r="E61" s="25">
        <v>650</v>
      </c>
      <c r="F61" s="129">
        <f>E61*Kosten!$G$14</f>
        <v>777.88587389487998</v>
      </c>
      <c r="G61" s="28">
        <f t="shared" ref="G61:G62" si="2">D61*F61</f>
        <v>0</v>
      </c>
      <c r="H61" s="28"/>
      <c r="I61" s="23"/>
    </row>
    <row r="62" spans="1:9" s="61" customFormat="1" ht="12.75">
      <c r="A62" s="2"/>
      <c r="B62" s="61" t="s">
        <v>159</v>
      </c>
      <c r="C62" s="2"/>
      <c r="D62" s="25">
        <f>Algemeen!H67</f>
        <v>0</v>
      </c>
      <c r="E62" s="25">
        <v>375</v>
      </c>
      <c r="F62" s="129">
        <f>E62*Kosten!$G$14</f>
        <v>448.78031186243078</v>
      </c>
      <c r="G62" s="28">
        <f t="shared" si="2"/>
        <v>0</v>
      </c>
      <c r="H62" s="28"/>
      <c r="I62" s="23"/>
    </row>
    <row r="63" spans="1:9" s="61" customFormat="1" ht="12.75">
      <c r="A63" s="2"/>
      <c r="B63" s="210" t="s">
        <v>280</v>
      </c>
      <c r="C63" s="211"/>
      <c r="D63" s="212">
        <f>Algemeen!H16</f>
        <v>459</v>
      </c>
      <c r="E63" s="212">
        <v>600</v>
      </c>
      <c r="F63" s="213">
        <f>E63*Kosten!$G$14</f>
        <v>718.04849897988925</v>
      </c>
      <c r="G63" s="158">
        <f t="shared" ref="G63" si="3">D63*F63</f>
        <v>329584.26103176916</v>
      </c>
      <c r="H63" s="158"/>
      <c r="I63" s="214" t="s">
        <v>282</v>
      </c>
    </row>
    <row r="64" spans="1:9" s="27" customFormat="1" ht="12.75">
      <c r="A64" s="2"/>
      <c r="B64" s="27" t="s">
        <v>143</v>
      </c>
      <c r="C64" s="2"/>
      <c r="D64" s="25">
        <f>Algemeen!H14</f>
        <v>500</v>
      </c>
      <c r="E64" s="2">
        <v>70</v>
      </c>
      <c r="F64" s="129">
        <f>E64*Kosten!$G$14</f>
        <v>83.772324880987085</v>
      </c>
      <c r="G64" s="28">
        <f t="shared" si="1"/>
        <v>41886.162440493543</v>
      </c>
      <c r="H64" s="28"/>
      <c r="I64" s="23" t="s">
        <v>109</v>
      </c>
    </row>
    <row r="65" spans="1:9" s="27" customFormat="1" ht="12.75">
      <c r="A65" s="2"/>
      <c r="B65" s="29" t="s">
        <v>48</v>
      </c>
      <c r="C65" s="2"/>
      <c r="D65" s="25">
        <f>Algemeen!H15</f>
        <v>130</v>
      </c>
      <c r="E65" s="2">
        <v>150</v>
      </c>
      <c r="F65" s="129">
        <f>E65*Kosten!$G$14</f>
        <v>179.51212474497231</v>
      </c>
      <c r="G65" s="28">
        <f t="shared" si="1"/>
        <v>23336.576216846399</v>
      </c>
      <c r="H65" s="28"/>
      <c r="I65" s="23" t="s">
        <v>145</v>
      </c>
    </row>
    <row r="66" spans="1:9" s="27" customFormat="1" ht="12.75">
      <c r="A66" s="2"/>
      <c r="B66" s="30" t="s">
        <v>100</v>
      </c>
      <c r="C66" s="14"/>
      <c r="D66" s="14"/>
      <c r="E66" s="14"/>
      <c r="F66" s="14"/>
      <c r="G66" s="31">
        <f>SUM(G55:G65)</f>
        <v>2447609.4586903718</v>
      </c>
      <c r="H66" s="32"/>
      <c r="I66" s="23"/>
    </row>
    <row r="67" spans="1:9">
      <c r="G67" s="20"/>
      <c r="H67" s="20"/>
    </row>
    <row r="68" spans="1:9">
      <c r="G68" s="20"/>
      <c r="H68" s="20"/>
    </row>
    <row r="69" spans="1:9" ht="20.100000000000001" customHeight="1">
      <c r="B69" s="195" t="s">
        <v>43</v>
      </c>
      <c r="C69" s="195"/>
      <c r="D69" s="195"/>
      <c r="E69" s="195"/>
      <c r="F69" s="195"/>
      <c r="G69" s="195"/>
      <c r="H69" s="195"/>
      <c r="I69" s="195"/>
    </row>
    <row r="70" spans="1:9" s="27" customFormat="1" ht="25.5">
      <c r="A70" s="2"/>
      <c r="B70" s="24"/>
      <c r="C70" s="24"/>
      <c r="D70" s="39" t="s">
        <v>140</v>
      </c>
      <c r="E70" s="39" t="s">
        <v>70</v>
      </c>
      <c r="F70" s="39" t="s">
        <v>44</v>
      </c>
      <c r="G70" s="39" t="s">
        <v>45</v>
      </c>
      <c r="H70" s="24"/>
      <c r="I70" s="24" t="s">
        <v>46</v>
      </c>
    </row>
    <row r="71" spans="1:9" s="27" customFormat="1" ht="12.75">
      <c r="A71" s="2"/>
      <c r="B71" s="27" t="s">
        <v>68</v>
      </c>
      <c r="C71" s="10"/>
      <c r="D71" s="56">
        <v>0.08</v>
      </c>
      <c r="F71" s="22">
        <f>$G$66</f>
        <v>2447609.4586903718</v>
      </c>
      <c r="G71" s="28">
        <f>D71*F71</f>
        <v>195808.75669522976</v>
      </c>
      <c r="H71" s="28"/>
      <c r="I71" s="23"/>
    </row>
    <row r="72" spans="1:9" s="27" customFormat="1" ht="12.75">
      <c r="A72" s="2"/>
      <c r="B72" s="27" t="s">
        <v>69</v>
      </c>
      <c r="C72" s="10"/>
      <c r="D72" s="56">
        <v>0.06</v>
      </c>
      <c r="E72" s="10">
        <v>0.24</v>
      </c>
      <c r="F72" s="22">
        <f t="shared" ref="F72:F77" si="4">$G$66</f>
        <v>2447609.4586903718</v>
      </c>
      <c r="G72" s="28">
        <f>D72*E72*F72</f>
        <v>35245.576205141355</v>
      </c>
      <c r="H72" s="28"/>
      <c r="I72" s="23"/>
    </row>
    <row r="73" spans="1:9" s="27" customFormat="1" ht="12.75">
      <c r="A73" s="2"/>
      <c r="B73" s="27" t="s">
        <v>71</v>
      </c>
      <c r="C73" s="10"/>
      <c r="D73" s="56">
        <v>0.05</v>
      </c>
      <c r="E73" s="10">
        <v>0.2</v>
      </c>
      <c r="F73" s="22">
        <f t="shared" si="4"/>
        <v>2447609.4586903718</v>
      </c>
      <c r="G73" s="28">
        <f>D73*E73*F73</f>
        <v>24476.094586903724</v>
      </c>
      <c r="H73" s="28"/>
      <c r="I73" s="23"/>
    </row>
    <row r="74" spans="1:9" s="27" customFormat="1" ht="12.75">
      <c r="A74" s="2"/>
      <c r="B74" s="27" t="s">
        <v>72</v>
      </c>
      <c r="C74" s="10"/>
      <c r="D74" s="56">
        <v>4.0000000000000001E-3</v>
      </c>
      <c r="E74" s="22"/>
      <c r="F74" s="22">
        <f t="shared" si="4"/>
        <v>2447609.4586903718</v>
      </c>
      <c r="G74" s="28">
        <f>D74*F74</f>
        <v>9790.4378347614875</v>
      </c>
      <c r="H74" s="28"/>
      <c r="I74" s="23"/>
    </row>
    <row r="75" spans="1:9" s="27" customFormat="1" ht="12.75">
      <c r="A75" s="2"/>
      <c r="B75" s="27" t="s">
        <v>73</v>
      </c>
      <c r="C75" s="10"/>
      <c r="D75" s="56">
        <v>5.0000000000000001E-3</v>
      </c>
      <c r="E75" s="22"/>
      <c r="F75" s="22">
        <f t="shared" si="4"/>
        <v>2447609.4586903718</v>
      </c>
      <c r="G75" s="28">
        <f t="shared" ref="G75" si="5">D75*F75</f>
        <v>12238.04729345186</v>
      </c>
      <c r="H75" s="28"/>
      <c r="I75" s="23"/>
    </row>
    <row r="76" spans="1:9" s="27" customFormat="1" ht="12.75">
      <c r="A76" s="2"/>
      <c r="B76" s="27" t="s">
        <v>74</v>
      </c>
      <c r="C76" s="10"/>
      <c r="D76" s="56">
        <v>2.5000000000000001E-2</v>
      </c>
      <c r="E76" s="22"/>
      <c r="F76" s="22">
        <f t="shared" si="4"/>
        <v>2447609.4586903718</v>
      </c>
      <c r="G76" s="130">
        <f>IF(Algemeen!H25=Lijsten!$N$7,D76*F76,0)</f>
        <v>0</v>
      </c>
      <c r="H76" s="28"/>
      <c r="I76" s="23" t="s">
        <v>146</v>
      </c>
    </row>
    <row r="77" spans="1:9" s="27" customFormat="1" ht="12.75">
      <c r="A77" s="2"/>
      <c r="B77" s="29" t="s">
        <v>32</v>
      </c>
      <c r="C77" s="2"/>
      <c r="D77" s="56">
        <v>4.0000000000000001E-3</v>
      </c>
      <c r="E77" s="2"/>
      <c r="F77" s="22">
        <f t="shared" si="4"/>
        <v>2447609.4586903718</v>
      </c>
      <c r="G77" s="130">
        <f>IF(Algemeen!H27=Lijsten!$N$7,D77*F77,0)</f>
        <v>0</v>
      </c>
      <c r="H77" s="28"/>
      <c r="I77" s="23" t="s">
        <v>146</v>
      </c>
    </row>
    <row r="78" spans="1:9" s="27" customFormat="1" ht="12.75">
      <c r="A78" s="2"/>
      <c r="B78" s="30" t="s">
        <v>75</v>
      </c>
      <c r="C78" s="14"/>
      <c r="D78" s="14"/>
      <c r="E78" s="14"/>
      <c r="F78" s="14"/>
      <c r="G78" s="31">
        <f>SUM(G71:G77)</f>
        <v>277558.91261548817</v>
      </c>
      <c r="H78" s="28"/>
      <c r="I78" s="23"/>
    </row>
    <row r="79" spans="1:9" s="27" customFormat="1" ht="12.75">
      <c r="A79" s="2"/>
      <c r="C79" s="2"/>
      <c r="D79" s="2"/>
      <c r="E79" s="2"/>
      <c r="F79" s="2"/>
      <c r="G79" s="28"/>
      <c r="H79" s="28"/>
      <c r="I79" s="23"/>
    </row>
    <row r="80" spans="1:9" s="27" customFormat="1" ht="12.75">
      <c r="A80" s="2"/>
      <c r="C80" s="2"/>
      <c r="D80" s="2"/>
      <c r="E80" s="2"/>
      <c r="F80" s="2"/>
      <c r="G80" s="36"/>
      <c r="H80" s="36"/>
      <c r="I80" s="23"/>
    </row>
    <row r="81" spans="1:9" s="27" customFormat="1" ht="20.100000000000001" customHeight="1">
      <c r="A81" s="2"/>
      <c r="B81" s="195" t="s">
        <v>76</v>
      </c>
      <c r="C81" s="195"/>
      <c r="D81" s="195"/>
      <c r="E81" s="195"/>
      <c r="F81" s="195"/>
      <c r="G81" s="195"/>
      <c r="H81" s="195"/>
      <c r="I81" s="195"/>
    </row>
    <row r="82" spans="1:9" ht="25.5">
      <c r="B82" s="24"/>
      <c r="C82" s="24"/>
      <c r="D82" s="39" t="s">
        <v>140</v>
      </c>
      <c r="E82" s="39"/>
      <c r="F82" s="39" t="s">
        <v>44</v>
      </c>
      <c r="G82" s="39" t="s">
        <v>45</v>
      </c>
      <c r="H82" s="24"/>
      <c r="I82" s="24" t="s">
        <v>46</v>
      </c>
    </row>
    <row r="83" spans="1:9">
      <c r="B83" s="27" t="s">
        <v>77</v>
      </c>
      <c r="C83" s="10"/>
      <c r="D83" s="56">
        <v>0.21</v>
      </c>
      <c r="E83" s="27"/>
      <c r="F83" s="22">
        <f>$G$50</f>
        <v>35422.695890410956</v>
      </c>
      <c r="G83" s="28">
        <f>D83*F83</f>
        <v>7438.7661369863008</v>
      </c>
      <c r="H83" s="28"/>
    </row>
    <row r="84" spans="1:9">
      <c r="B84" s="27" t="s">
        <v>110</v>
      </c>
      <c r="C84" s="10"/>
      <c r="D84" s="178">
        <v>0.06</v>
      </c>
      <c r="E84" s="10"/>
      <c r="F84" s="22">
        <f>$G$66-$G$64-$G$65</f>
        <v>2382386.7200330319</v>
      </c>
      <c r="G84" s="28">
        <f t="shared" ref="G84:G87" si="6">D84*F84</f>
        <v>142943.2032019819</v>
      </c>
      <c r="H84" s="28"/>
      <c r="I84" s="23" t="s">
        <v>276</v>
      </c>
    </row>
    <row r="85" spans="1:9" s="58" customFormat="1">
      <c r="A85" s="26"/>
      <c r="B85" s="61" t="s">
        <v>111</v>
      </c>
      <c r="C85" s="10"/>
      <c r="D85" s="56">
        <v>0.21</v>
      </c>
      <c r="E85" s="10"/>
      <c r="F85" s="22">
        <f>$G$64+$G$65</f>
        <v>65222.738657339942</v>
      </c>
      <c r="G85" s="28">
        <f t="shared" si="6"/>
        <v>13696.775118041387</v>
      </c>
      <c r="H85" s="28"/>
      <c r="I85" s="23"/>
    </row>
    <row r="86" spans="1:9">
      <c r="B86" s="33" t="s">
        <v>78</v>
      </c>
      <c r="C86" s="10"/>
      <c r="D86" s="56">
        <v>0.21</v>
      </c>
      <c r="E86" s="10"/>
      <c r="F86" s="22">
        <f>$G$78</f>
        <v>277558.91261548817</v>
      </c>
      <c r="G86" s="28">
        <f t="shared" si="6"/>
        <v>58287.371649252513</v>
      </c>
      <c r="H86" s="28"/>
    </row>
    <row r="87" spans="1:9" s="58" customFormat="1">
      <c r="A87" s="26"/>
      <c r="B87" s="29" t="s">
        <v>238</v>
      </c>
      <c r="C87" s="10"/>
      <c r="D87" s="56">
        <v>0.21</v>
      </c>
      <c r="E87" s="10"/>
      <c r="F87" s="22">
        <f>G25+G24+G23+G21</f>
        <v>9360</v>
      </c>
      <c r="G87" s="28">
        <f t="shared" si="6"/>
        <v>1965.6</v>
      </c>
      <c r="H87" s="28"/>
      <c r="I87" s="23"/>
    </row>
    <row r="88" spans="1:9">
      <c r="B88" s="30" t="s">
        <v>79</v>
      </c>
      <c r="C88" s="14"/>
      <c r="D88" s="14"/>
      <c r="E88" s="14"/>
      <c r="F88" s="14"/>
      <c r="G88" s="31">
        <f>SUM(G83:G87)</f>
        <v>224331.71610626209</v>
      </c>
      <c r="H88" s="28"/>
    </row>
    <row r="92" spans="1:9" s="85" customFormat="1" ht="24.95" customHeight="1">
      <c r="A92" s="80"/>
      <c r="B92" s="81" t="s">
        <v>112</v>
      </c>
      <c r="C92" s="82"/>
      <c r="D92" s="82"/>
      <c r="E92" s="82"/>
      <c r="F92" s="82"/>
      <c r="G92" s="92">
        <f>IF(Algemeen!H19=Lijsten!P8,G38,Kosten!G26)+G50+G66+G78+G88</f>
        <v>3021975.4833025332</v>
      </c>
      <c r="H92" s="83"/>
      <c r="I92" s="84"/>
    </row>
  </sheetData>
  <sheetProtection password="CA49" sheet="1" objects="1" scenarios="1"/>
  <mergeCells count="7">
    <mergeCell ref="B81:I81"/>
    <mergeCell ref="B29:I29"/>
    <mergeCell ref="B2:I2"/>
    <mergeCell ref="B69:I69"/>
    <mergeCell ref="B17:I17"/>
    <mergeCell ref="B41:I41"/>
    <mergeCell ref="B53:I53"/>
  </mergeCells>
  <hyperlinks>
    <hyperlink ref="I21" r:id="rId1"/>
    <hyperlink ref="I22" r:id="rId2"/>
  </hyperlinks>
  <printOptions gridLines="1"/>
  <pageMargins left="0.70866141732283472" right="0.70866141732283472" top="0.74803149606299213" bottom="0.74803149606299213" header="0.31496062992125984" footer="0.31496062992125984"/>
  <pageSetup paperSize="8" scale="53" orientation="portrait" r:id="rId3"/>
  <drawing r:id="rId4"/>
</worksheet>
</file>

<file path=xl/worksheets/sheet4.xml><?xml version="1.0" encoding="utf-8"?>
<worksheet xmlns="http://schemas.openxmlformats.org/spreadsheetml/2006/main" xmlns:r="http://schemas.openxmlformats.org/officeDocument/2006/relationships">
  <sheetPr>
    <pageSetUpPr fitToPage="1"/>
  </sheetPr>
  <dimension ref="B2:N27"/>
  <sheetViews>
    <sheetView zoomScaleNormal="100" workbookViewId="0">
      <selection activeCell="G33" sqref="G33"/>
    </sheetView>
  </sheetViews>
  <sheetFormatPr defaultRowHeight="15"/>
  <cols>
    <col min="2" max="2" width="11.140625" customWidth="1"/>
    <col min="3" max="3" width="22.7109375" style="58" customWidth="1"/>
    <col min="4" max="4" width="10.7109375" customWidth="1"/>
    <col min="5" max="5" width="4.140625" customWidth="1"/>
    <col min="6" max="6" width="10.42578125" bestFit="1" customWidth="1"/>
    <col min="7" max="7" width="12.42578125" customWidth="1"/>
    <col min="8" max="8" width="10.42578125" style="58" bestFit="1" customWidth="1"/>
    <col min="9" max="9" width="15.42578125" customWidth="1"/>
    <col min="10" max="10" width="15" customWidth="1"/>
    <col min="11" max="11" width="15" style="58" customWidth="1"/>
    <col min="12" max="12" width="16.85546875" customWidth="1"/>
    <col min="13" max="13" width="4.28515625" customWidth="1"/>
    <col min="14" max="14" width="17.140625" customWidth="1"/>
  </cols>
  <sheetData>
    <row r="2" spans="2:14" ht="20.100000000000001" customHeight="1">
      <c r="B2" s="195" t="s">
        <v>115</v>
      </c>
      <c r="C2" s="195"/>
      <c r="D2" s="195"/>
      <c r="E2" s="195"/>
      <c r="F2" s="195"/>
      <c r="G2" s="195"/>
      <c r="H2" s="195"/>
      <c r="I2" s="195"/>
      <c r="J2" s="195"/>
      <c r="K2" s="195"/>
      <c r="L2" s="196"/>
      <c r="M2" s="195"/>
      <c r="N2" s="195"/>
    </row>
    <row r="3" spans="2:14" s="61" customFormat="1" ht="38.25">
      <c r="B3" s="39" t="s">
        <v>103</v>
      </c>
      <c r="C3" s="39" t="s">
        <v>167</v>
      </c>
      <c r="D3" s="39" t="s">
        <v>21</v>
      </c>
      <c r="E3" s="39"/>
      <c r="F3" s="39" t="s">
        <v>235</v>
      </c>
      <c r="G3" s="39" t="s">
        <v>233</v>
      </c>
      <c r="H3" s="149" t="s">
        <v>234</v>
      </c>
      <c r="I3" s="39" t="s">
        <v>113</v>
      </c>
      <c r="J3" s="39" t="s">
        <v>147</v>
      </c>
      <c r="K3" s="39" t="s">
        <v>114</v>
      </c>
      <c r="L3" s="39" t="str">
        <f>IF(Algemeen!H19=Lijsten!P8,"TOTAALKOST (excl. erfpachtvergoeding)", "TOTAALKOST")</f>
        <v>TOTAALKOST (excl. erfpachtvergoeding)</v>
      </c>
      <c r="M3" s="156"/>
      <c r="N3" s="156" t="str">
        <f>IF(Algemeen!H19=Lijsten!P8,"Jaarlijkse basis erfpachtvergoeding*","")</f>
        <v>Jaarlijkse basis erfpachtvergoeding*</v>
      </c>
    </row>
    <row r="4" spans="2:14" s="61" customFormat="1" ht="12.75">
      <c r="B4" s="33" t="str">
        <f>Algemeen!B33</f>
        <v>Unit 1</v>
      </c>
      <c r="C4" s="41" t="str">
        <f>Algemeen!C33</f>
        <v>X en Y</v>
      </c>
      <c r="D4" s="91">
        <f>Algemeen!D33</f>
        <v>103</v>
      </c>
      <c r="E4" s="40" t="s">
        <v>4</v>
      </c>
      <c r="F4" s="41">
        <f>Algemeen!L33</f>
        <v>81.510934393638166</v>
      </c>
      <c r="G4" s="142">
        <v>1</v>
      </c>
      <c r="H4" s="41">
        <f>F4*G4</f>
        <v>81.510934393638166</v>
      </c>
      <c r="I4" s="87">
        <f>Kosten!$G$92*'Verdeling per unit'!H4/$H$25</f>
        <v>246324.04535865577</v>
      </c>
      <c r="J4" s="143">
        <v>20000</v>
      </c>
      <c r="K4" s="89">
        <f>J4*6%</f>
        <v>1200</v>
      </c>
      <c r="L4" s="89">
        <f>I4+J4+K4*G4</f>
        <v>267524.04535865574</v>
      </c>
      <c r="N4" s="89">
        <f>IF(Algemeen!$H$19=Lijsten!$P$8,Kosten!$G$31*H4/$H$25,"")</f>
        <v>1130.1491053677933</v>
      </c>
    </row>
    <row r="5" spans="2:14" s="61" customFormat="1" ht="12.75">
      <c r="B5" s="33" t="str">
        <f>Algemeen!B34</f>
        <v>Unit 2</v>
      </c>
      <c r="C5" s="41" t="str">
        <f>Algemeen!C34</f>
        <v>A</v>
      </c>
      <c r="D5" s="91">
        <f>Algemeen!D34</f>
        <v>93</v>
      </c>
      <c r="E5" s="40" t="s">
        <v>4</v>
      </c>
      <c r="F5" s="41">
        <f>Algemeen!L34</f>
        <v>74.884029158383029</v>
      </c>
      <c r="G5" s="142">
        <v>1</v>
      </c>
      <c r="H5" s="41">
        <f t="shared" ref="H5:H14" si="0">F5*G5</f>
        <v>74.884029158383029</v>
      </c>
      <c r="I5" s="87">
        <f>Kosten!$G$92*'Verdeling per unit'!H5/$H$25</f>
        <v>226297.70020754554</v>
      </c>
      <c r="J5" s="143">
        <v>15000</v>
      </c>
      <c r="K5" s="89">
        <f t="shared" ref="K5:K14" si="1">J5*6%</f>
        <v>900</v>
      </c>
      <c r="L5" s="89">
        <f t="shared" ref="L5:L14" si="2">I5+J5+K5*G5</f>
        <v>242197.70020754554</v>
      </c>
      <c r="N5" s="89">
        <f>IF(Algemeen!$H$19=Lijsten!$P$8,Kosten!$G$31*H5/$H$25,"")</f>
        <v>1038.2670642809808</v>
      </c>
    </row>
    <row r="6" spans="2:14" s="61" customFormat="1" ht="12.75">
      <c r="B6" s="33" t="str">
        <f>Algemeen!B35</f>
        <v>Unit 3</v>
      </c>
      <c r="C6" s="41" t="str">
        <f>Algemeen!C35</f>
        <v>B, C en D</v>
      </c>
      <c r="D6" s="91">
        <f>Algemeen!D35</f>
        <v>129</v>
      </c>
      <c r="E6" s="40" t="s">
        <v>4</v>
      </c>
      <c r="F6" s="41">
        <f>Algemeen!L35</f>
        <v>92.113982770046391</v>
      </c>
      <c r="G6" s="142">
        <v>1</v>
      </c>
      <c r="H6" s="41">
        <f t="shared" si="0"/>
        <v>92.113982770046391</v>
      </c>
      <c r="I6" s="87">
        <f>Kosten!$G$92*'Verdeling per unit'!H6/$H$25</f>
        <v>278366.19760043215</v>
      </c>
      <c r="J6" s="143">
        <v>22500</v>
      </c>
      <c r="K6" s="89">
        <f t="shared" si="1"/>
        <v>1350</v>
      </c>
      <c r="L6" s="89">
        <f t="shared" si="2"/>
        <v>302216.19760043215</v>
      </c>
      <c r="N6" s="89">
        <f>IF(Algemeen!$H$19=Lijsten!$P$8,Kosten!$G$31*H6/$H$25,"")</f>
        <v>1277.1603711066932</v>
      </c>
    </row>
    <row r="7" spans="2:14" s="61" customFormat="1" ht="12.75">
      <c r="B7" s="33" t="str">
        <f>Algemeen!B36</f>
        <v>Unit 4</v>
      </c>
      <c r="C7" s="41" t="str">
        <f>Algemeen!C36</f>
        <v>E</v>
      </c>
      <c r="D7" s="91">
        <f>Algemeen!D36</f>
        <v>129</v>
      </c>
      <c r="E7" s="40" t="s">
        <v>4</v>
      </c>
      <c r="F7" s="41">
        <f>Algemeen!L36</f>
        <v>85.487077534791254</v>
      </c>
      <c r="G7" s="142">
        <v>1</v>
      </c>
      <c r="H7" s="41">
        <f t="shared" si="0"/>
        <v>85.487077534791254</v>
      </c>
      <c r="I7" s="87">
        <f>Kosten!$G$92*'Verdeling per unit'!H7/$H$25</f>
        <v>258339.85244932192</v>
      </c>
      <c r="J7" s="143">
        <v>30000</v>
      </c>
      <c r="K7" s="89">
        <f t="shared" si="1"/>
        <v>1800</v>
      </c>
      <c r="L7" s="89">
        <f t="shared" si="2"/>
        <v>290139.85244932189</v>
      </c>
      <c r="N7" s="89">
        <f>IF(Algemeen!$H$19=Lijsten!$P$8,Kosten!$G$31*H7/$H$25,"")</f>
        <v>1185.2783300198807</v>
      </c>
    </row>
    <row r="8" spans="2:14" s="61" customFormat="1" ht="12.75">
      <c r="B8" s="33" t="str">
        <f>Algemeen!B37</f>
        <v>Unit 5</v>
      </c>
      <c r="C8" s="41" t="str">
        <f>Algemeen!C37</f>
        <v>F</v>
      </c>
      <c r="D8" s="91">
        <f>Algemeen!D37</f>
        <v>114</v>
      </c>
      <c r="E8" s="40" t="s">
        <v>4</v>
      </c>
      <c r="F8" s="41">
        <f>Algemeen!L37</f>
        <v>85.487077534791254</v>
      </c>
      <c r="G8" s="142">
        <v>1</v>
      </c>
      <c r="H8" s="41">
        <f t="shared" si="0"/>
        <v>85.487077534791254</v>
      </c>
      <c r="I8" s="87">
        <f>Kosten!$G$92*'Verdeling per unit'!H8/$H$25</f>
        <v>258339.85244932192</v>
      </c>
      <c r="J8" s="143">
        <v>25000</v>
      </c>
      <c r="K8" s="89">
        <f t="shared" si="1"/>
        <v>1500</v>
      </c>
      <c r="L8" s="89">
        <f t="shared" si="2"/>
        <v>284839.85244932189</v>
      </c>
      <c r="N8" s="89">
        <f>IF(Algemeen!$H$19=Lijsten!$P$8,Kosten!$G$31*H8/$H$25,"")</f>
        <v>1185.2783300198807</v>
      </c>
    </row>
    <row r="9" spans="2:14" s="61" customFormat="1" ht="12.75">
      <c r="B9" s="33" t="str">
        <f>Algemeen!B38</f>
        <v>Unit 6</v>
      </c>
      <c r="C9" s="41" t="str">
        <f>Algemeen!C38</f>
        <v>G, H, I en J</v>
      </c>
      <c r="D9" s="91">
        <f>Algemeen!D38</f>
        <v>129</v>
      </c>
      <c r="E9" s="40" t="s">
        <v>4</v>
      </c>
      <c r="F9" s="41">
        <f>Algemeen!L38</f>
        <v>85.487077534791254</v>
      </c>
      <c r="G9" s="142">
        <v>1</v>
      </c>
      <c r="H9" s="41">
        <f t="shared" si="0"/>
        <v>85.487077534791254</v>
      </c>
      <c r="I9" s="87">
        <f>Kosten!$G$92*'Verdeling per unit'!H9/$H$25</f>
        <v>258339.85244932192</v>
      </c>
      <c r="J9" s="143">
        <v>21000</v>
      </c>
      <c r="K9" s="89">
        <f t="shared" si="1"/>
        <v>1260</v>
      </c>
      <c r="L9" s="89">
        <f t="shared" si="2"/>
        <v>280599.85244932189</v>
      </c>
      <c r="N9" s="89">
        <f>IF(Algemeen!$H$19=Lijsten!$P$8,Kosten!$G$31*H9/$H$25,"")</f>
        <v>1185.2783300198807</v>
      </c>
    </row>
    <row r="10" spans="2:14" s="61" customFormat="1" ht="12.75">
      <c r="B10" s="33" t="str">
        <f>Algemeen!B39</f>
        <v>Unit 7</v>
      </c>
      <c r="C10" s="41" t="str">
        <f>Algemeen!C39</f>
        <v>K en L</v>
      </c>
      <c r="D10" s="91">
        <f>Algemeen!D39</f>
        <v>104</v>
      </c>
      <c r="E10" s="40" t="s">
        <v>4</v>
      </c>
      <c r="F10" s="41">
        <f>Algemeen!L39</f>
        <v>85.487077534791254</v>
      </c>
      <c r="G10" s="142">
        <v>1</v>
      </c>
      <c r="H10" s="41">
        <f t="shared" si="0"/>
        <v>85.487077534791254</v>
      </c>
      <c r="I10" s="87">
        <f>Kosten!$G$92*'Verdeling per unit'!H10/$H$25</f>
        <v>258339.85244932192</v>
      </c>
      <c r="J10" s="143">
        <v>18000</v>
      </c>
      <c r="K10" s="89">
        <f t="shared" si="1"/>
        <v>1080</v>
      </c>
      <c r="L10" s="89">
        <f t="shared" si="2"/>
        <v>277419.85244932189</v>
      </c>
      <c r="N10" s="89">
        <f>IF(Algemeen!$H$19=Lijsten!$P$8,Kosten!$G$31*H10/$H$25,"")</f>
        <v>1185.2783300198807</v>
      </c>
    </row>
    <row r="11" spans="2:14" s="61" customFormat="1" ht="12.75">
      <c r="B11" s="33" t="str">
        <f>Algemeen!B40</f>
        <v>Unit 8</v>
      </c>
      <c r="C11" s="41" t="str">
        <f>Algemeen!C40</f>
        <v>M en N</v>
      </c>
      <c r="D11" s="91">
        <f>Algemeen!D40</f>
        <v>129</v>
      </c>
      <c r="E11" s="40" t="s">
        <v>4</v>
      </c>
      <c r="F11" s="41">
        <f>Algemeen!L40</f>
        <v>85.487077534791254</v>
      </c>
      <c r="G11" s="142">
        <v>1</v>
      </c>
      <c r="H11" s="41">
        <f t="shared" si="0"/>
        <v>85.487077534791254</v>
      </c>
      <c r="I11" s="87">
        <f>Kosten!$G$92*'Verdeling per unit'!H11/$H$25</f>
        <v>258339.85244932192</v>
      </c>
      <c r="J11" s="143">
        <v>35000</v>
      </c>
      <c r="K11" s="89">
        <f t="shared" si="1"/>
        <v>2100</v>
      </c>
      <c r="L11" s="89">
        <f t="shared" si="2"/>
        <v>295439.85244932189</v>
      </c>
      <c r="N11" s="89">
        <f>IF(Algemeen!$H$19=Lijsten!$P$8,Kosten!$G$31*H11/$H$25,"")</f>
        <v>1185.2783300198807</v>
      </c>
    </row>
    <row r="12" spans="2:14" s="61" customFormat="1" ht="12.75">
      <c r="B12" s="33" t="str">
        <f>Algemeen!B41</f>
        <v>Unit 9</v>
      </c>
      <c r="C12" s="41" t="str">
        <f>Algemeen!C41</f>
        <v>O</v>
      </c>
      <c r="D12" s="91">
        <f>Algemeen!D41</f>
        <v>121</v>
      </c>
      <c r="E12" s="40" t="s">
        <v>4</v>
      </c>
      <c r="F12" s="41">
        <f>Algemeen!L41</f>
        <v>84.16169648774023</v>
      </c>
      <c r="G12" s="142">
        <v>1</v>
      </c>
      <c r="H12" s="41">
        <f t="shared" si="0"/>
        <v>84.16169648774023</v>
      </c>
      <c r="I12" s="87">
        <f>Kosten!$G$92*'Verdeling per unit'!H12/$H$25</f>
        <v>254334.58341909989</v>
      </c>
      <c r="J12" s="143">
        <v>27500</v>
      </c>
      <c r="K12" s="89">
        <f t="shared" si="1"/>
        <v>1650</v>
      </c>
      <c r="L12" s="89">
        <f t="shared" si="2"/>
        <v>283484.58341909992</v>
      </c>
      <c r="N12" s="89">
        <f>IF(Algemeen!$H$19=Lijsten!$P$8,Kosten!$G$31*H12/$H$25,"")</f>
        <v>1166.9019218025182</v>
      </c>
    </row>
    <row r="13" spans="2:14" s="61" customFormat="1" ht="12.75">
      <c r="B13" s="33" t="str">
        <f>Algemeen!B42</f>
        <v>Unit 10</v>
      </c>
      <c r="C13" s="41" t="str">
        <f>Algemeen!C42</f>
        <v>P, Q en R</v>
      </c>
      <c r="D13" s="91">
        <f>Algemeen!D42</f>
        <v>129</v>
      </c>
      <c r="E13" s="40" t="s">
        <v>4</v>
      </c>
      <c r="F13" s="41">
        <f>Algemeen!L42</f>
        <v>85.487077534791254</v>
      </c>
      <c r="G13" s="142">
        <v>1</v>
      </c>
      <c r="H13" s="41">
        <f t="shared" si="0"/>
        <v>85.487077534791254</v>
      </c>
      <c r="I13" s="87">
        <f>Kosten!$G$92*'Verdeling per unit'!H13/$H$25</f>
        <v>258339.85244932192</v>
      </c>
      <c r="J13" s="143">
        <v>32000</v>
      </c>
      <c r="K13" s="89">
        <f t="shared" si="1"/>
        <v>1920</v>
      </c>
      <c r="L13" s="89">
        <f t="shared" si="2"/>
        <v>292259.85244932189</v>
      </c>
      <c r="N13" s="89">
        <f>IF(Algemeen!$H$19=Lijsten!$P$8,Kosten!$G$31*H13/$H$25,"")</f>
        <v>1185.2783300198807</v>
      </c>
    </row>
    <row r="14" spans="2:14" s="61" customFormat="1" ht="12.75">
      <c r="B14" s="33" t="str">
        <f>Algemeen!B43</f>
        <v>Unit 11</v>
      </c>
      <c r="C14" s="41" t="str">
        <f>Algemeen!C43</f>
        <v>S, T, U, V en W</v>
      </c>
      <c r="D14" s="91">
        <f>Algemeen!D43</f>
        <v>109</v>
      </c>
      <c r="E14" s="40" t="s">
        <v>4</v>
      </c>
      <c r="F14" s="41">
        <f>Algemeen!L43</f>
        <v>86.149768058316766</v>
      </c>
      <c r="G14" s="142">
        <v>1</v>
      </c>
      <c r="H14" s="41">
        <f t="shared" si="0"/>
        <v>86.149768058316766</v>
      </c>
      <c r="I14" s="87">
        <f>Kosten!$G$92*'Verdeling per unit'!H14/$H$25</f>
        <v>260342.48696443296</v>
      </c>
      <c r="J14" s="143">
        <v>30000</v>
      </c>
      <c r="K14" s="89">
        <f t="shared" si="1"/>
        <v>1800</v>
      </c>
      <c r="L14" s="89">
        <f t="shared" si="2"/>
        <v>292142.48696443299</v>
      </c>
      <c r="N14" s="89">
        <f>IF(Algemeen!$H$19=Lijsten!$P$8,Kosten!$G$31*H14/$H$25,"")</f>
        <v>1194.466534128562</v>
      </c>
    </row>
    <row r="15" spans="2:14" s="61" customFormat="1" ht="12.75">
      <c r="B15" s="33" t="str">
        <f>Algemeen!B44</f>
        <v>Unit 12</v>
      </c>
      <c r="C15" s="41" t="str">
        <f>Algemeen!C44</f>
        <v>X, Y en Z</v>
      </c>
      <c r="D15" s="91">
        <f>Algemeen!D44</f>
        <v>103</v>
      </c>
      <c r="E15" s="40" t="s">
        <v>4</v>
      </c>
      <c r="F15" s="41">
        <f>Algemeen!L44</f>
        <v>68.257123923127892</v>
      </c>
      <c r="G15" s="142">
        <v>1</v>
      </c>
      <c r="H15" s="41">
        <f t="shared" ref="H15:H23" si="3">F15*G15</f>
        <v>68.257123923127892</v>
      </c>
      <c r="I15" s="87">
        <f>Kosten!$G$92*'Verdeling per unit'!H15/$H$25</f>
        <v>206271.35505643531</v>
      </c>
      <c r="J15" s="143">
        <v>30000</v>
      </c>
      <c r="K15" s="89">
        <f t="shared" ref="K15:K23" si="4">J15*6%</f>
        <v>1800</v>
      </c>
      <c r="L15" s="89">
        <f t="shared" ref="L15:L23" si="5">I15+J15+K15*G15</f>
        <v>238071.35505643531</v>
      </c>
      <c r="N15" s="89">
        <f>IF(Algemeen!$H$19=Lijsten!$P$8,Kosten!$G$31*H15/$H$25,"")</f>
        <v>946.38502319416818</v>
      </c>
    </row>
    <row r="16" spans="2:14" s="61" customFormat="1" ht="12.75">
      <c r="B16" s="33" t="str">
        <f>Algemeen!B45</f>
        <v xml:space="preserve"> </v>
      </c>
      <c r="C16" s="157">
        <f>Algemeen!C45</f>
        <v>0</v>
      </c>
      <c r="D16" s="91">
        <f>Algemeen!D45</f>
        <v>0</v>
      </c>
      <c r="E16" s="40" t="s">
        <v>4</v>
      </c>
      <c r="F16" s="41">
        <f>Algemeen!L45</f>
        <v>0</v>
      </c>
      <c r="G16" s="142">
        <v>1</v>
      </c>
      <c r="H16" s="41">
        <f t="shared" si="3"/>
        <v>0</v>
      </c>
      <c r="I16" s="87">
        <f>Kosten!$G$92*'Verdeling per unit'!H16/$H$25</f>
        <v>0</v>
      </c>
      <c r="J16" s="143">
        <v>0</v>
      </c>
      <c r="K16" s="89">
        <f t="shared" si="4"/>
        <v>0</v>
      </c>
      <c r="L16" s="89">
        <f t="shared" si="5"/>
        <v>0</v>
      </c>
      <c r="N16" s="89">
        <f>IF(Algemeen!$H$19=Lijsten!$P$8,Kosten!$G$31*H16/$H$25,"")</f>
        <v>0</v>
      </c>
    </row>
    <row r="17" spans="2:14" s="61" customFormat="1" ht="12.75">
      <c r="B17" s="33" t="str">
        <f>Algemeen!B46</f>
        <v xml:space="preserve"> </v>
      </c>
      <c r="C17" s="157">
        <f>Algemeen!C46</f>
        <v>0</v>
      </c>
      <c r="D17" s="91">
        <f>Algemeen!D46</f>
        <v>0</v>
      </c>
      <c r="E17" s="40" t="s">
        <v>4</v>
      </c>
      <c r="F17" s="41">
        <f>Algemeen!L46</f>
        <v>0</v>
      </c>
      <c r="G17" s="142">
        <v>1</v>
      </c>
      <c r="H17" s="41">
        <f t="shared" si="3"/>
        <v>0</v>
      </c>
      <c r="I17" s="87">
        <f>Kosten!$G$92*'Verdeling per unit'!H17/$H$25</f>
        <v>0</v>
      </c>
      <c r="J17" s="143">
        <v>0</v>
      </c>
      <c r="K17" s="89">
        <f t="shared" si="4"/>
        <v>0</v>
      </c>
      <c r="L17" s="89">
        <f t="shared" si="5"/>
        <v>0</v>
      </c>
      <c r="N17" s="89">
        <f>IF(Algemeen!$H$19=Lijsten!$P$8,Kosten!$G$31*H17/$H$25,"")</f>
        <v>0</v>
      </c>
    </row>
    <row r="18" spans="2:14" s="61" customFormat="1" ht="12.75">
      <c r="B18" s="33" t="str">
        <f>Algemeen!B47</f>
        <v xml:space="preserve"> </v>
      </c>
      <c r="C18" s="157">
        <f>Algemeen!C47</f>
        <v>0</v>
      </c>
      <c r="D18" s="91">
        <f>Algemeen!D47</f>
        <v>0</v>
      </c>
      <c r="E18" s="40" t="s">
        <v>4</v>
      </c>
      <c r="F18" s="41">
        <f>Algemeen!L47</f>
        <v>0</v>
      </c>
      <c r="G18" s="142">
        <v>1</v>
      </c>
      <c r="H18" s="41">
        <f t="shared" si="3"/>
        <v>0</v>
      </c>
      <c r="I18" s="87">
        <f>Kosten!$G$92*'Verdeling per unit'!H18/$H$25</f>
        <v>0</v>
      </c>
      <c r="J18" s="143">
        <v>0</v>
      </c>
      <c r="K18" s="89">
        <f t="shared" si="4"/>
        <v>0</v>
      </c>
      <c r="L18" s="89">
        <f t="shared" si="5"/>
        <v>0</v>
      </c>
      <c r="N18" s="89">
        <f>IF(Algemeen!$H$19=Lijsten!$P$8,Kosten!$G$31*H18/$H$25,"")</f>
        <v>0</v>
      </c>
    </row>
    <row r="19" spans="2:14" s="61" customFormat="1" ht="12.75">
      <c r="B19" s="33" t="str">
        <f>Algemeen!B48</f>
        <v xml:space="preserve"> </v>
      </c>
      <c r="C19" s="157">
        <f>Algemeen!C48</f>
        <v>0</v>
      </c>
      <c r="D19" s="91">
        <f>Algemeen!D48</f>
        <v>0</v>
      </c>
      <c r="E19" s="40" t="s">
        <v>4</v>
      </c>
      <c r="F19" s="41">
        <f>Algemeen!L48</f>
        <v>0</v>
      </c>
      <c r="G19" s="142">
        <v>1</v>
      </c>
      <c r="H19" s="41">
        <f t="shared" si="3"/>
        <v>0</v>
      </c>
      <c r="I19" s="87">
        <f>Kosten!$G$92*'Verdeling per unit'!H19/$H$25</f>
        <v>0</v>
      </c>
      <c r="J19" s="143">
        <v>0</v>
      </c>
      <c r="K19" s="89">
        <f t="shared" si="4"/>
        <v>0</v>
      </c>
      <c r="L19" s="89">
        <f t="shared" si="5"/>
        <v>0</v>
      </c>
      <c r="N19" s="89">
        <f>IF(Algemeen!$H$19=Lijsten!$P$8,Kosten!$G$31*H19/$H$25,"")</f>
        <v>0</v>
      </c>
    </row>
    <row r="20" spans="2:14" s="61" customFormat="1" ht="12.75">
      <c r="B20" s="33" t="str">
        <f>Algemeen!B49</f>
        <v xml:space="preserve"> </v>
      </c>
      <c r="C20" s="157">
        <f>Algemeen!C49</f>
        <v>0</v>
      </c>
      <c r="D20" s="91">
        <f>Algemeen!D49</f>
        <v>0</v>
      </c>
      <c r="E20" s="40" t="s">
        <v>4</v>
      </c>
      <c r="F20" s="41">
        <f>Algemeen!L49</f>
        <v>0</v>
      </c>
      <c r="G20" s="142">
        <v>1</v>
      </c>
      <c r="H20" s="41">
        <f t="shared" si="3"/>
        <v>0</v>
      </c>
      <c r="I20" s="87">
        <f>Kosten!$G$92*'Verdeling per unit'!H20/$H$25</f>
        <v>0</v>
      </c>
      <c r="J20" s="143">
        <v>0</v>
      </c>
      <c r="K20" s="89">
        <f t="shared" si="4"/>
        <v>0</v>
      </c>
      <c r="L20" s="89">
        <f t="shared" si="5"/>
        <v>0</v>
      </c>
      <c r="N20" s="89">
        <f>IF(Algemeen!$H$19=Lijsten!$P$8,Kosten!$G$31*H20/$H$25,"")</f>
        <v>0</v>
      </c>
    </row>
    <row r="21" spans="2:14" s="61" customFormat="1" ht="12.75">
      <c r="B21" s="33" t="str">
        <f>Algemeen!B50</f>
        <v xml:space="preserve"> </v>
      </c>
      <c r="C21" s="157">
        <f>Algemeen!C50</f>
        <v>0</v>
      </c>
      <c r="D21" s="91">
        <f>Algemeen!D50</f>
        <v>0</v>
      </c>
      <c r="E21" s="40" t="s">
        <v>4</v>
      </c>
      <c r="F21" s="41">
        <f>Algemeen!L50</f>
        <v>0</v>
      </c>
      <c r="G21" s="142">
        <v>1</v>
      </c>
      <c r="H21" s="41">
        <f t="shared" si="3"/>
        <v>0</v>
      </c>
      <c r="I21" s="87">
        <f>Kosten!$G$92*'Verdeling per unit'!H21/$H$25</f>
        <v>0</v>
      </c>
      <c r="J21" s="143">
        <v>0</v>
      </c>
      <c r="K21" s="89">
        <f t="shared" si="4"/>
        <v>0</v>
      </c>
      <c r="L21" s="89">
        <f t="shared" si="5"/>
        <v>0</v>
      </c>
      <c r="N21" s="89">
        <f>IF(Algemeen!$H$19=Lijsten!$P$8,Kosten!$G$31*H21/$H$25,"")</f>
        <v>0</v>
      </c>
    </row>
    <row r="22" spans="2:14" s="61" customFormat="1" ht="12.75">
      <c r="B22" s="33" t="str">
        <f>Algemeen!B51</f>
        <v xml:space="preserve"> </v>
      </c>
      <c r="C22" s="157">
        <f>Algemeen!C51</f>
        <v>0</v>
      </c>
      <c r="D22" s="91">
        <f>Algemeen!D51</f>
        <v>0</v>
      </c>
      <c r="E22" s="40" t="s">
        <v>4</v>
      </c>
      <c r="F22" s="41">
        <f>Algemeen!L51</f>
        <v>0</v>
      </c>
      <c r="G22" s="142">
        <v>1</v>
      </c>
      <c r="H22" s="41">
        <f t="shared" si="3"/>
        <v>0</v>
      </c>
      <c r="I22" s="87">
        <f>Kosten!$G$92*'Verdeling per unit'!H22/$H$25</f>
        <v>0</v>
      </c>
      <c r="J22" s="143">
        <v>0</v>
      </c>
      <c r="K22" s="89">
        <f t="shared" si="4"/>
        <v>0</v>
      </c>
      <c r="L22" s="89">
        <f t="shared" si="5"/>
        <v>0</v>
      </c>
      <c r="N22" s="89">
        <f>IF(Algemeen!$H$19=Lijsten!$P$8,Kosten!$G$31*H22/$H$25,"")</f>
        <v>0</v>
      </c>
    </row>
    <row r="23" spans="2:14" s="61" customFormat="1" ht="12.75">
      <c r="B23" s="33" t="str">
        <f>Algemeen!B52</f>
        <v xml:space="preserve"> </v>
      </c>
      <c r="C23" s="157">
        <f>Algemeen!C52</f>
        <v>0</v>
      </c>
      <c r="D23" s="91">
        <f>Algemeen!D52</f>
        <v>0</v>
      </c>
      <c r="E23" s="40" t="s">
        <v>4</v>
      </c>
      <c r="F23" s="41">
        <f>Algemeen!L52</f>
        <v>0</v>
      </c>
      <c r="G23" s="142">
        <v>1</v>
      </c>
      <c r="H23" s="41">
        <f t="shared" si="3"/>
        <v>0</v>
      </c>
      <c r="I23" s="87">
        <f>Kosten!$G$92*'Verdeling per unit'!H23/$H$25</f>
        <v>0</v>
      </c>
      <c r="J23" s="143">
        <v>0</v>
      </c>
      <c r="K23" s="89">
        <f t="shared" si="4"/>
        <v>0</v>
      </c>
      <c r="L23" s="89">
        <f t="shared" si="5"/>
        <v>0</v>
      </c>
      <c r="N23" s="89">
        <f>IF(Algemeen!$H$19=Lijsten!$P$8,Kosten!$G$31*H23/$H$25,"")</f>
        <v>0</v>
      </c>
    </row>
    <row r="24" spans="2:14" s="61" customFormat="1" ht="12.75">
      <c r="B24" s="29"/>
      <c r="C24" s="29"/>
      <c r="D24" s="72"/>
      <c r="E24" s="72"/>
      <c r="F24" s="74"/>
    </row>
    <row r="25" spans="2:14" s="61" customFormat="1" ht="12.75">
      <c r="B25" s="75"/>
      <c r="C25" s="75"/>
      <c r="D25" s="76">
        <f>SUM(D4:D24)</f>
        <v>1392</v>
      </c>
      <c r="E25" s="77" t="s">
        <v>4</v>
      </c>
      <c r="F25" s="78">
        <f>SUM(F4:F24)</f>
        <v>1000</v>
      </c>
      <c r="G25" s="86"/>
      <c r="H25" s="150">
        <f>SUM(H4:H24)</f>
        <v>1000</v>
      </c>
      <c r="I25" s="88">
        <f t="shared" ref="I25:L25" si="6">SUM(I4:I24)</f>
        <v>3021975.4833025332</v>
      </c>
      <c r="J25" s="88">
        <f>SUM(J4:J24)</f>
        <v>306000</v>
      </c>
      <c r="K25" s="88"/>
      <c r="L25" s="88">
        <f t="shared" si="6"/>
        <v>3346335.4833025327</v>
      </c>
      <c r="N25" s="173">
        <f>IF(Algemeen!H19=Lijsten!P8,SUM(N4:N24),"")</f>
        <v>13865</v>
      </c>
    </row>
    <row r="26" spans="2:14">
      <c r="H26" s="146"/>
      <c r="I26" s="146"/>
    </row>
    <row r="27" spans="2:14">
      <c r="D27" s="174" t="str">
        <f>IF(Algemeen!H19=Lijsten!P8,"*erfpachtvergoeding basis 2018, jaarlijks te indexeren","")</f>
        <v>*erfpachtvergoeding basis 2018, jaarlijks te indexeren</v>
      </c>
    </row>
  </sheetData>
  <sheetProtection password="CA49" sheet="1" objects="1" scenarios="1"/>
  <mergeCells count="2">
    <mergeCell ref="B2:L2"/>
    <mergeCell ref="M2:N2"/>
  </mergeCells>
  <conditionalFormatting sqref="H26:I26">
    <cfRule type="cellIs" dxfId="3" priority="4" operator="equal">
      <formula>"FOUT"</formula>
    </cfRule>
  </conditionalFormatting>
  <conditionalFormatting sqref="H26">
    <cfRule type="cellIs" dxfId="2" priority="3" operator="between">
      <formula>999</formula>
      <formula>1001</formula>
    </cfRule>
  </conditionalFormatting>
  <conditionalFormatting sqref="H25">
    <cfRule type="cellIs" dxfId="1" priority="1" operator="lessThan">
      <formula>999</formula>
    </cfRule>
    <cfRule type="cellIs" dxfId="0" priority="2" operator="greaterThan">
      <formula>1001</formula>
    </cfRule>
  </conditionalFormatting>
  <pageMargins left="0.7" right="0.7" top="0.75" bottom="0.75" header="0.3" footer="0.3"/>
  <pageSetup paperSize="9" scale="74" orientation="landscape" r:id="rId1"/>
  <ignoredErrors>
    <ignoredError sqref="H4:H14" unlockedFormula="1"/>
  </ignoredErrors>
</worksheet>
</file>

<file path=xl/worksheets/sheet5.xml><?xml version="1.0" encoding="utf-8"?>
<worksheet xmlns="http://schemas.openxmlformats.org/spreadsheetml/2006/main" xmlns:r="http://schemas.openxmlformats.org/officeDocument/2006/relationships">
  <dimension ref="B4:Q11"/>
  <sheetViews>
    <sheetView workbookViewId="0">
      <selection activeCell="H7" sqref="H7"/>
    </sheetView>
  </sheetViews>
  <sheetFormatPr defaultRowHeight="15"/>
  <cols>
    <col min="8" max="8" width="10.85546875" customWidth="1"/>
  </cols>
  <sheetData>
    <row r="4" spans="2:17">
      <c r="B4" s="93" t="s">
        <v>118</v>
      </c>
      <c r="C4" s="94"/>
      <c r="D4" s="93" t="s">
        <v>119</v>
      </c>
      <c r="E4" s="94"/>
      <c r="F4" s="93" t="s">
        <v>120</v>
      </c>
      <c r="G4" s="94"/>
      <c r="H4" s="93" t="s">
        <v>121</v>
      </c>
      <c r="I4" s="94"/>
      <c r="J4" s="93" t="s">
        <v>122</v>
      </c>
      <c r="K4" s="94"/>
      <c r="L4" s="93" t="s">
        <v>123</v>
      </c>
      <c r="M4" s="94"/>
      <c r="N4" s="93" t="s">
        <v>192</v>
      </c>
      <c r="O4" s="94"/>
      <c r="P4" s="93" t="s">
        <v>270</v>
      </c>
      <c r="Q4" s="94"/>
    </row>
    <row r="5" spans="2:17">
      <c r="B5" s="95" t="s">
        <v>54</v>
      </c>
      <c r="C5" s="96"/>
      <c r="D5" s="95" t="s">
        <v>55</v>
      </c>
      <c r="E5" s="96"/>
      <c r="F5" s="95" t="s">
        <v>56</v>
      </c>
      <c r="G5" s="96"/>
      <c r="H5" s="95" t="s">
        <v>63</v>
      </c>
      <c r="I5" s="96"/>
      <c r="J5" s="95" t="s">
        <v>58</v>
      </c>
      <c r="K5" s="96"/>
      <c r="L5" s="102" t="s">
        <v>60</v>
      </c>
      <c r="M5" s="96"/>
      <c r="N5" s="102"/>
      <c r="O5" s="96"/>
      <c r="P5" s="102" t="s">
        <v>273</v>
      </c>
      <c r="Q5" s="96"/>
    </row>
    <row r="6" spans="2:17">
      <c r="B6" s="97" t="s">
        <v>124</v>
      </c>
      <c r="C6" s="98"/>
      <c r="D6" s="97" t="s">
        <v>124</v>
      </c>
      <c r="E6" s="98"/>
      <c r="F6" s="97" t="s">
        <v>124</v>
      </c>
      <c r="G6" s="98"/>
      <c r="H6" s="97" t="s">
        <v>124</v>
      </c>
      <c r="I6" s="98"/>
      <c r="J6" s="97" t="s">
        <v>124</v>
      </c>
      <c r="K6" s="98"/>
      <c r="L6" s="97" t="s">
        <v>124</v>
      </c>
      <c r="M6" s="98"/>
      <c r="N6" s="97" t="s">
        <v>124</v>
      </c>
      <c r="O6" s="98"/>
      <c r="P6" s="97" t="s">
        <v>124</v>
      </c>
      <c r="Q6" s="98"/>
    </row>
    <row r="7" spans="2:17">
      <c r="B7" s="97" t="s">
        <v>53</v>
      </c>
      <c r="C7" s="99">
        <v>0</v>
      </c>
      <c r="D7" s="97" t="s">
        <v>53</v>
      </c>
      <c r="E7" s="99">
        <v>0</v>
      </c>
      <c r="F7" s="97" t="s">
        <v>125</v>
      </c>
      <c r="G7" s="99">
        <v>0.12</v>
      </c>
      <c r="H7" s="97" t="s">
        <v>137</v>
      </c>
      <c r="I7" s="99">
        <v>0</v>
      </c>
      <c r="J7" s="97" t="s">
        <v>59</v>
      </c>
      <c r="K7" s="99">
        <v>0</v>
      </c>
      <c r="L7" s="97" t="s">
        <v>61</v>
      </c>
      <c r="M7" s="99">
        <v>0</v>
      </c>
      <c r="N7" s="97" t="s">
        <v>193</v>
      </c>
      <c r="O7" s="99"/>
      <c r="P7" s="97" t="s">
        <v>272</v>
      </c>
      <c r="Q7" s="99"/>
    </row>
    <row r="8" spans="2:17">
      <c r="B8" s="97" t="s">
        <v>126</v>
      </c>
      <c r="C8" s="99">
        <v>0.1</v>
      </c>
      <c r="D8" s="97" t="s">
        <v>127</v>
      </c>
      <c r="E8" s="99">
        <v>-0.05</v>
      </c>
      <c r="F8" s="97" t="s">
        <v>128</v>
      </c>
      <c r="G8" s="99">
        <v>0.09</v>
      </c>
      <c r="H8" s="97" t="s">
        <v>138</v>
      </c>
      <c r="I8" s="99">
        <v>0.04</v>
      </c>
      <c r="J8" s="97" t="s">
        <v>129</v>
      </c>
      <c r="K8" s="99">
        <v>0.03</v>
      </c>
      <c r="L8" s="97" t="s">
        <v>132</v>
      </c>
      <c r="M8" s="99">
        <v>0.2</v>
      </c>
      <c r="N8" s="97" t="s">
        <v>194</v>
      </c>
      <c r="O8" s="99"/>
      <c r="P8" s="97" t="s">
        <v>271</v>
      </c>
      <c r="Q8" s="99"/>
    </row>
    <row r="9" spans="2:17">
      <c r="B9" s="97" t="s">
        <v>130</v>
      </c>
      <c r="C9" s="99">
        <v>0.15</v>
      </c>
      <c r="D9" s="97" t="s">
        <v>131</v>
      </c>
      <c r="E9" s="99">
        <v>0.05</v>
      </c>
      <c r="F9" s="97" t="s">
        <v>57</v>
      </c>
      <c r="G9" s="99">
        <v>0.04</v>
      </c>
      <c r="H9" s="97" t="s">
        <v>142</v>
      </c>
      <c r="I9" s="99">
        <v>0.1</v>
      </c>
      <c r="J9" s="97"/>
      <c r="K9" s="99"/>
      <c r="L9" s="97" t="s">
        <v>136</v>
      </c>
      <c r="M9" s="99">
        <v>0.35</v>
      </c>
      <c r="N9" s="97"/>
      <c r="O9" s="99"/>
      <c r="P9" s="97"/>
      <c r="Q9" s="99"/>
    </row>
    <row r="10" spans="2:17">
      <c r="B10" s="97" t="s">
        <v>133</v>
      </c>
      <c r="C10" s="99">
        <v>0.2</v>
      </c>
      <c r="D10" s="97" t="s">
        <v>134</v>
      </c>
      <c r="E10" s="99">
        <v>0.1</v>
      </c>
      <c r="F10" s="97" t="s">
        <v>135</v>
      </c>
      <c r="G10" s="100">
        <v>0</v>
      </c>
      <c r="H10" s="97"/>
      <c r="I10" s="98"/>
      <c r="J10" s="97"/>
      <c r="K10" s="100"/>
      <c r="L10" s="97"/>
      <c r="M10" s="100"/>
      <c r="N10" s="97"/>
      <c r="O10" s="100"/>
      <c r="P10" s="97"/>
      <c r="Q10" s="100"/>
    </row>
    <row r="11" spans="2:17">
      <c r="B11" s="95"/>
      <c r="C11" s="96"/>
      <c r="D11" s="95"/>
      <c r="E11" s="96"/>
      <c r="F11" s="95"/>
      <c r="G11" s="101"/>
      <c r="H11" s="95"/>
      <c r="I11" s="96"/>
      <c r="J11" s="95"/>
      <c r="K11" s="96"/>
      <c r="L11" s="95"/>
      <c r="M11" s="96"/>
      <c r="N11" s="95"/>
      <c r="O11" s="96"/>
      <c r="P11" s="95"/>
      <c r="Q11" s="96"/>
    </row>
  </sheetData>
  <sheetProtection password="CA4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9</vt:i4>
      </vt:variant>
    </vt:vector>
  </HeadingPairs>
  <TitlesOfParts>
    <vt:vector size="14" baseType="lpstr">
      <vt:lpstr>Handleiding</vt:lpstr>
      <vt:lpstr>Algemeen</vt:lpstr>
      <vt:lpstr>Kosten</vt:lpstr>
      <vt:lpstr>Verdeling per unit</vt:lpstr>
      <vt:lpstr>Lijsten</vt:lpstr>
      <vt:lpstr>Algemeen!Afdrukbereik</vt:lpstr>
      <vt:lpstr>afwerkingsgraad</vt:lpstr>
      <vt:lpstr>compactheid</vt:lpstr>
      <vt:lpstr>convenantlevenslangwonen</vt:lpstr>
      <vt:lpstr>duurzaamheideis</vt:lpstr>
      <vt:lpstr>janee</vt:lpstr>
      <vt:lpstr>nieuwbouwverbouwing</vt:lpstr>
      <vt:lpstr>overdrachtsformule</vt:lpstr>
      <vt:lpstr>vormelijkecomplexiteit</vt:lpstr>
    </vt:vector>
  </TitlesOfParts>
  <Company>Gent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Hanssens Eveline</dc:creator>
  <cp:lastModifiedBy>kvanuytsel</cp:lastModifiedBy>
  <cp:lastPrinted>2014-11-24T15:26:40Z</cp:lastPrinted>
  <dcterms:created xsi:type="dcterms:W3CDTF">2014-05-05T12:08:12Z</dcterms:created>
  <dcterms:modified xsi:type="dcterms:W3CDTF">2015-01-27T10:23:02Z</dcterms:modified>
</cp:coreProperties>
</file>